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3" windowHeight="13626" activeTab="0"/>
  </bookViews>
  <sheets>
    <sheet name="Calc_Sheet" sheetId="1" r:id="rId1"/>
    <sheet name="Northwest Chico" sheetId="2" state="hidden" r:id="rId2"/>
    <sheet name="Rate_Sheet" sheetId="3" state="hidden" r:id="rId3"/>
    <sheet name="basic_rates" sheetId="4" state="hidden" r:id="rId4"/>
  </sheets>
  <definedNames/>
  <calcPr fullCalcOnLoad="1"/>
</workbook>
</file>

<file path=xl/sharedStrings.xml><?xml version="1.0" encoding="utf-8"?>
<sst xmlns="http://schemas.openxmlformats.org/spreadsheetml/2006/main" count="297" uniqueCount="139">
  <si>
    <t xml:space="preserve">‘309-000-42422/77000-3990 </t>
  </si>
  <si>
    <t>‘309-000-42422/77100-3990</t>
  </si>
  <si>
    <t xml:space="preserve">‘309-000-42422/77200-3990 </t>
  </si>
  <si>
    <t>‘309-000-42422/77300-3990</t>
  </si>
  <si>
    <t>‘309-000-42422/77400-3990</t>
  </si>
  <si>
    <t>‘309-000-42422/77500-3990</t>
  </si>
  <si>
    <t>‘309-000-42422/77600-3990</t>
  </si>
  <si>
    <t>‘309-000-42422/77700-3990</t>
  </si>
  <si>
    <t>‘309-000-42422/77800-3990</t>
  </si>
  <si>
    <t>% of Lot Used</t>
  </si>
  <si>
    <t>(0.5 runoff coefficient)</t>
  </si>
  <si>
    <t>(0.75 runoff coefficient)</t>
  </si>
  <si>
    <t>(0.8 runoff coefficient)</t>
  </si>
  <si>
    <t>(Drainage Basin)</t>
  </si>
  <si>
    <t>*No fee increases since 07-08</t>
  </si>
  <si>
    <t>Account</t>
  </si>
  <si>
    <t>Adjusted Fee</t>
  </si>
  <si>
    <t>Adjusted Zone Rate</t>
  </si>
  <si>
    <t>Adjusted Zone Rate = $</t>
  </si>
  <si>
    <t>Adjusted Zone Rate = Landuse Factor * (Collector &amp; Oufall)+(Channel Stabilization) + (Water Quality) + (Design &amp; Data)</t>
  </si>
  <si>
    <t>amount for an existing assessment for districts formed by Butte County is the responsibility of the owner's engineer.</t>
  </si>
  <si>
    <t>APN:</t>
  </si>
  <si>
    <t>Approved</t>
  </si>
  <si>
    <t>Area</t>
  </si>
  <si>
    <t>Area =</t>
  </si>
  <si>
    <t>Authority: Chapter 3.85 Chico Municipal Code; Resolution No. 10 93-94 Fee Schd 50-20</t>
  </si>
  <si>
    <t>Base Fee</t>
  </si>
  <si>
    <t>Basins</t>
  </si>
  <si>
    <t>Big Chico Creek</t>
  </si>
  <si>
    <t>Butte Creek</t>
  </si>
  <si>
    <t>Butte Creek Diversion</t>
  </si>
  <si>
    <t>By:</t>
  </si>
  <si>
    <t>Channel Stabilization</t>
  </si>
  <si>
    <t>Channel Stabilization =</t>
  </si>
  <si>
    <t>Channel Stabilization Participation</t>
  </si>
  <si>
    <t>Collector and Outfall =</t>
  </si>
  <si>
    <t>Collector and Outfall Participation</t>
  </si>
  <si>
    <t>Collector Outfall</t>
  </si>
  <si>
    <t>Comanche Creek</t>
  </si>
  <si>
    <t>Commanche Creek</t>
  </si>
  <si>
    <t xml:space="preserve">Commercial and Industrial </t>
  </si>
  <si>
    <t>Commercial Industrial</t>
  </si>
  <si>
    <t>Cost per CA</t>
  </si>
  <si>
    <t>Date:</t>
  </si>
  <si>
    <t>Design and Data</t>
  </si>
  <si>
    <t>Design and Data Collection Facilities =</t>
  </si>
  <si>
    <t>Design and Data Collection Facilities Participation</t>
  </si>
  <si>
    <t>Drainage Area</t>
  </si>
  <si>
    <t>Drainage Fee = ( Area   *  Adjusted Zone Rate) - (Existing Assessment - SD Credits)</t>
  </si>
  <si>
    <t>Estimate</t>
  </si>
  <si>
    <t>Existing Assessment</t>
  </si>
  <si>
    <t>Fee Schedule 50.020</t>
  </si>
  <si>
    <t>General Plan:</t>
  </si>
  <si>
    <t>Include sub-area designation on calc sheet and receipt also!</t>
  </si>
  <si>
    <t>Keefer Slough/Rock Creek</t>
  </si>
  <si>
    <t>Land Use Factor</t>
  </si>
  <si>
    <t>Land Use Factors:</t>
  </si>
  <si>
    <t>Lindo Channel</t>
  </si>
  <si>
    <t>Little Chico Creek</t>
  </si>
  <si>
    <t>Mud/Sycamore Creek</t>
  </si>
  <si>
    <t>Mud-Sycamore</t>
  </si>
  <si>
    <t>Mud-Sycamore Creek</t>
  </si>
  <si>
    <t>Multi Family</t>
  </si>
  <si>
    <t xml:space="preserve">Multiple Family Residential </t>
  </si>
  <si>
    <t>Multiplier</t>
  </si>
  <si>
    <t>new fee</t>
  </si>
  <si>
    <t>No. of Units:</t>
  </si>
  <si>
    <t>Number</t>
  </si>
  <si>
    <t>On Site Attenuation 50%</t>
  </si>
  <si>
    <t>Original</t>
  </si>
  <si>
    <t>P. V. Ditch</t>
  </si>
  <si>
    <t>Participation</t>
  </si>
  <si>
    <t>Peak Attenuation</t>
  </si>
  <si>
    <t>Peak Attenuation Participation</t>
  </si>
  <si>
    <t>Per Acre Cost</t>
  </si>
  <si>
    <t xml:space="preserve">Per Acre Cost </t>
  </si>
  <si>
    <t>Pleasant Valley Ditch</t>
  </si>
  <si>
    <t>Project Area in Acres: =</t>
  </si>
  <si>
    <t>Proportion</t>
  </si>
  <si>
    <t>S.U.D.A.D. Ditch</t>
  </si>
  <si>
    <t>Single Family</t>
  </si>
  <si>
    <t xml:space="preserve">Single Family Residential </t>
  </si>
  <si>
    <t>Storm Drainage costs (credit) pursuant to Section 3.85. Article IV of the Chico Municipal Code.  The verification of the</t>
  </si>
  <si>
    <t>Storm Drainage Credits</t>
  </si>
  <si>
    <t>Storm Drainage Fee</t>
  </si>
  <si>
    <t xml:space="preserve">Storm Drainage Fee Computation Sheet </t>
  </si>
  <si>
    <t>Street Address:</t>
  </si>
  <si>
    <t>Subdivision/Building Plan No.:</t>
  </si>
  <si>
    <t>Subtotal</t>
  </si>
  <si>
    <t>SUDAD Ditch</t>
  </si>
  <si>
    <t>SUSDAD</t>
  </si>
  <si>
    <t>Total Adjusted Zone Rate=</t>
  </si>
  <si>
    <t>Total Cost Per Acre</t>
  </si>
  <si>
    <t>Updated*</t>
  </si>
  <si>
    <t>Water Quality</t>
  </si>
  <si>
    <t>Water Quality Facilities =</t>
  </si>
  <si>
    <t>Water Quality Facilities Participation</t>
  </si>
  <si>
    <t>Watercourse</t>
  </si>
  <si>
    <t>Zone    =</t>
  </si>
  <si>
    <t>Zone Number</t>
  </si>
  <si>
    <t>Zoning:Existing</t>
  </si>
  <si>
    <t>Enter</t>
  </si>
  <si>
    <t>New Values</t>
  </si>
  <si>
    <t>Above</t>
  </si>
  <si>
    <t>005-094-0004</t>
  </si>
  <si>
    <t>16-01522</t>
  </si>
  <si>
    <t>Northwest Chico SP Area</t>
  </si>
  <si>
    <t>NWCSPA</t>
  </si>
  <si>
    <t>Update June 26, 2017</t>
  </si>
  <si>
    <t>NORTHWEST CHICO SPECIFIC PLAN AREA STORM DRAINAGE FACILITY FEES</t>
  </si>
  <si>
    <t>Peak</t>
  </si>
  <si>
    <t>Chan Stab</t>
  </si>
  <si>
    <t>WQ</t>
  </si>
  <si>
    <t>D &amp; D</t>
  </si>
  <si>
    <t>Collector, Outfall, Quality, Quantity =</t>
  </si>
  <si>
    <t xml:space="preserve"> = Reimbursable Amount</t>
  </si>
  <si>
    <t>Update 07/30/2018</t>
  </si>
  <si>
    <t xml:space="preserve">Disclaimer: This fee calculator is used as a processing tool for applicants to estimate the storm drain fees that will be charged for their project. Fees are subject to change. </t>
  </si>
  <si>
    <t>19/20 FY</t>
  </si>
  <si>
    <t>21/22 FY</t>
  </si>
  <si>
    <t>This is the only column that needs to be updated year to year (just the new sum)</t>
  </si>
  <si>
    <t>Project Information:</t>
  </si>
  <si>
    <t>Land Use Information:</t>
  </si>
  <si>
    <t>Zone Informaiton:</t>
  </si>
  <si>
    <t>Storm Drainage Fee Estimate:</t>
  </si>
  <si>
    <t>Input total project acreage here</t>
  </si>
  <si>
    <t>Choose land use factor and input it here</t>
  </si>
  <si>
    <t>Input zone number here</t>
  </si>
  <si>
    <t>https://chico.maps.arcgis.com/apps/instant/lookup/index.html?appid=2505242e56c847eeb356565ded175038</t>
  </si>
  <si>
    <t>Basin Name</t>
  </si>
  <si>
    <t xml:space="preserve">Basin Number </t>
  </si>
  <si>
    <t xml:space="preserve">Big Chico Creek </t>
  </si>
  <si>
    <t xml:space="preserve">Lindo Channel </t>
  </si>
  <si>
    <t xml:space="preserve">Commanche Creek </t>
  </si>
  <si>
    <t xml:space="preserve">Butte Creek </t>
  </si>
  <si>
    <t>SUDAD</t>
  </si>
  <si>
    <t xml:space="preserve">Mud-Sycamore Creek </t>
  </si>
  <si>
    <t xml:space="preserve">Pleasant Valley Ditch </t>
  </si>
  <si>
    <t>Find Your Zone Number Here: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</si>
</sst>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\ #,##0.0"/>
    <numFmt numFmtId="167" formatCode="0.0%"/>
    <numFmt numFmtId="168" formatCode="0.00000%"/>
    <numFmt numFmtId="169" formatCode="[$-409]dddd\,\ mmmm\ dd\,\ yyyy"/>
    <numFmt numFmtId="170" formatCode="m/d/yy;@"/>
    <numFmt numFmtId="171" formatCode="[$$-409]#,##0.00"/>
    <numFmt numFmtId="172" formatCode="[$$-409]#,##0.0"/>
    <numFmt numFmtId="173" formatCode="#,##0.0"/>
    <numFmt numFmtId="174" formatCode="[$-409]dddd\,\ mmmm\ d\,\ yyyy"/>
    <numFmt numFmtId="175" formatCode="[$-409]h:mm:ss\ AM/PM"/>
    <numFmt numFmtId="176" formatCode="&quot;$&quot;#,##0.00"/>
  </numFmts>
  <fonts count="6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8"/>
      <color indexed="50"/>
      <name val="Calibri Light"/>
      <family val="2"/>
    </font>
    <font>
      <sz val="11"/>
      <color indexed="9"/>
      <name val="Calibri"/>
      <family val="2"/>
    </font>
    <font>
      <sz val="12"/>
      <color indexed="11"/>
      <name val="Times New Roman"/>
      <family val="1"/>
    </font>
    <font>
      <sz val="10"/>
      <color indexed="11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u val="single"/>
      <sz val="10"/>
      <color indexed="32"/>
      <name val="Arial"/>
      <family val="2"/>
    </font>
    <font>
      <u val="single"/>
      <sz val="10"/>
      <color indexed="49"/>
      <name val="Arial"/>
      <family val="2"/>
    </font>
    <font>
      <u val="single"/>
      <sz val="5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Times New Roman"/>
      <family val="1"/>
    </font>
    <font>
      <u val="single"/>
      <sz val="5"/>
      <color theme="10"/>
      <name val="Arial"/>
      <family val="2"/>
    </font>
    <font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 applyFont="0" applyFill="0" applyBorder="0" applyAlignment="0" applyProtection="0"/>
    <xf numFmtId="164" fontId="0" fillId="0" borderId="0">
      <alignment/>
      <protection/>
    </xf>
    <xf numFmtId="42" fontId="0" fillId="0" borderId="0" applyFont="0" applyFill="0" applyBorder="0" applyAlignment="0" applyProtection="0"/>
    <xf numFmtId="165" fontId="0" fillId="0" borderId="0">
      <alignment/>
      <protection/>
    </xf>
    <xf numFmtId="42" fontId="0" fillId="0" borderId="0" applyFont="0" applyFill="0" applyBorder="0" applyAlignment="0" applyProtection="0"/>
    <xf numFmtId="14" fontId="0" fillId="0" borderId="0">
      <alignment/>
      <protection/>
    </xf>
    <xf numFmtId="0" fontId="44" fillId="0" borderId="0" applyNumberFormat="0" applyFill="0" applyBorder="0" applyAlignment="0" applyProtection="0"/>
    <xf numFmtId="2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52" fillId="27" borderId="6" applyNumberFormat="0" applyAlignment="0" applyProtection="0"/>
    <xf numFmtId="1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7">
      <alignment/>
      <protection/>
    </xf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42" applyNumberFormat="1" applyFont="1" applyAlignment="1">
      <alignment horizontal="right"/>
      <protection/>
    </xf>
    <xf numFmtId="0" fontId="0" fillId="0" borderId="0" xfId="42" applyNumberFormat="1">
      <alignment/>
      <protection/>
    </xf>
    <xf numFmtId="0" fontId="0" fillId="0" borderId="0" xfId="42" applyNumberFormat="1" applyAlignment="1">
      <alignment horizontal="right"/>
      <protection/>
    </xf>
    <xf numFmtId="10" fontId="0" fillId="0" borderId="0" xfId="42" applyNumberFormat="1">
      <alignment/>
      <protection/>
    </xf>
    <xf numFmtId="165" fontId="0" fillId="0" borderId="0" xfId="42" applyNumberFormat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0" borderId="0" xfId="42" applyNumberFormat="1" applyFont="1">
      <alignment/>
      <protection/>
    </xf>
    <xf numFmtId="0" fontId="3" fillId="0" borderId="0" xfId="42" applyNumberFormat="1" applyFont="1">
      <alignment/>
      <protection/>
    </xf>
    <xf numFmtId="0" fontId="4" fillId="0" borderId="0" xfId="42" applyNumberFormat="1" applyFont="1">
      <alignment/>
      <protection/>
    </xf>
    <xf numFmtId="0" fontId="0" fillId="0" borderId="0" xfId="42" applyNumberFormat="1" applyAlignment="1">
      <alignment horizontal="centerContinuous"/>
      <protection/>
    </xf>
    <xf numFmtId="10" fontId="7" fillId="0" borderId="0" xfId="0" applyNumberFormat="1" applyFont="1" applyAlignment="1">
      <alignment horizontal="left"/>
    </xf>
    <xf numFmtId="0" fontId="7" fillId="0" borderId="0" xfId="42" applyNumberFormat="1" applyFont="1" applyAlignment="1">
      <alignment horizontal="left"/>
      <protection/>
    </xf>
    <xf numFmtId="0" fontId="0" fillId="0" borderId="0" xfId="42" applyNumberFormat="1" applyAlignment="1">
      <alignment horizontal="left"/>
      <protection/>
    </xf>
    <xf numFmtId="165" fontId="0" fillId="0" borderId="0" xfId="0" applyNumberFormat="1" applyAlignment="1">
      <alignment horizontal="left"/>
    </xf>
    <xf numFmtId="2" fontId="7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>
      <alignment/>
      <protection/>
    </xf>
    <xf numFmtId="167" fontId="0" fillId="0" borderId="0" xfId="0" applyNumberFormat="1" applyAlignment="1">
      <alignment/>
    </xf>
    <xf numFmtId="167" fontId="0" fillId="0" borderId="0" xfId="42" applyNumberFormat="1">
      <alignment/>
      <protection/>
    </xf>
    <xf numFmtId="0" fontId="8" fillId="0" borderId="0" xfId="42" applyNumberFormat="1" applyFont="1">
      <alignment/>
      <protection/>
    </xf>
    <xf numFmtId="10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65" fontId="7" fillId="0" borderId="0" xfId="42" applyNumberFormat="1" applyFont="1">
      <alignment/>
      <protection/>
    </xf>
    <xf numFmtId="168" fontId="0" fillId="0" borderId="0" xfId="0" applyNumberFormat="1" applyAlignment="1">
      <alignment/>
    </xf>
    <xf numFmtId="0" fontId="5" fillId="0" borderId="0" xfId="42" applyNumberFormat="1" applyFont="1">
      <alignment/>
      <protection/>
    </xf>
    <xf numFmtId="170" fontId="7" fillId="0" borderId="0" xfId="0" applyNumberFormat="1" applyFont="1" applyAlignment="1">
      <alignment horizontal="left"/>
    </xf>
    <xf numFmtId="0" fontId="7" fillId="0" borderId="0" xfId="42" applyNumberFormat="1" applyFont="1" applyAlignment="1" quotePrefix="1">
      <alignment horizontal="left"/>
      <protection/>
    </xf>
    <xf numFmtId="165" fontId="10" fillId="33" borderId="0" xfId="0" applyNumberFormat="1" applyFont="1" applyFill="1" applyAlignment="1">
      <alignment/>
    </xf>
    <xf numFmtId="0" fontId="6" fillId="0" borderId="0" xfId="42" applyNumberFormat="1" applyFont="1" applyAlignment="1" quotePrefix="1">
      <alignment horizontal="left"/>
      <protection/>
    </xf>
    <xf numFmtId="0" fontId="0" fillId="0" borderId="0" xfId="42" applyNumberFormat="1" applyFont="1" applyAlignment="1">
      <alignment horizontal="centerContinuous"/>
      <protection/>
    </xf>
    <xf numFmtId="0" fontId="0" fillId="0" borderId="0" xfId="42" applyNumberFormat="1" applyFont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176" fontId="0" fillId="0" borderId="0" xfId="0" applyNumberFormat="1" applyAlignment="1">
      <alignment/>
    </xf>
    <xf numFmtId="176" fontId="0" fillId="34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6" fontId="55" fillId="0" borderId="0" xfId="0" applyNumberFormat="1" applyFont="1" applyFill="1" applyAlignment="1">
      <alignment/>
    </xf>
    <xf numFmtId="0" fontId="0" fillId="35" borderId="0" xfId="42" applyNumberFormat="1" applyFont="1" applyFill="1">
      <alignment/>
      <protection/>
    </xf>
    <xf numFmtId="165" fontId="0" fillId="35" borderId="0" xfId="42" applyNumberFormat="1" applyFont="1" applyFill="1">
      <alignment/>
      <protection/>
    </xf>
    <xf numFmtId="165" fontId="0" fillId="35" borderId="0" xfId="42" applyNumberFormat="1" applyFill="1">
      <alignment/>
      <protection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7" fontId="0" fillId="35" borderId="0" xfId="42" applyNumberForma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wrapText="1"/>
    </xf>
    <xf numFmtId="165" fontId="0" fillId="34" borderId="0" xfId="0" applyNumberFormat="1" applyFill="1" applyAlignment="1">
      <alignment/>
    </xf>
    <xf numFmtId="0" fontId="0" fillId="34" borderId="0" xfId="42" applyNumberForma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165" fontId="0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42" applyNumberFormat="1" applyFont="1" applyAlignment="1">
      <alignment horizontal="right"/>
      <protection/>
    </xf>
    <xf numFmtId="0" fontId="12" fillId="0" borderId="0" xfId="42" applyNumberFormat="1" applyFont="1" applyAlignment="1">
      <alignment horizontal="left"/>
      <protection/>
    </xf>
    <xf numFmtId="0" fontId="56" fillId="0" borderId="0" xfId="0" applyFont="1" applyAlignment="1">
      <alignment/>
    </xf>
    <xf numFmtId="0" fontId="11" fillId="0" borderId="0" xfId="42" applyNumberFormat="1" applyFont="1" applyAlignment="1">
      <alignment horizontal="left"/>
      <protection/>
    </xf>
    <xf numFmtId="0" fontId="56" fillId="0" borderId="0" xfId="42" applyNumberFormat="1" applyFont="1">
      <alignment/>
      <protection/>
    </xf>
    <xf numFmtId="2" fontId="12" fillId="0" borderId="0" xfId="0" applyNumberFormat="1" applyFont="1" applyAlignment="1">
      <alignment horizontal="left"/>
    </xf>
    <xf numFmtId="0" fontId="56" fillId="0" borderId="0" xfId="42" applyNumberFormat="1" applyFont="1" applyAlignment="1">
      <alignment horizontal="right"/>
      <protection/>
    </xf>
    <xf numFmtId="0" fontId="12" fillId="0" borderId="0" xfId="42" applyNumberFormat="1" applyFont="1">
      <alignment/>
      <protection/>
    </xf>
    <xf numFmtId="10" fontId="56" fillId="0" borderId="0" xfId="0" applyNumberFormat="1" applyFont="1" applyAlignment="1">
      <alignment horizontal="left"/>
    </xf>
    <xf numFmtId="165" fontId="56" fillId="0" borderId="0" xfId="0" applyNumberFormat="1" applyFont="1" applyAlignment="1">
      <alignment horizontal="left"/>
    </xf>
    <xf numFmtId="165" fontId="56" fillId="0" borderId="0" xfId="0" applyNumberFormat="1" applyFont="1" applyAlignment="1">
      <alignment/>
    </xf>
    <xf numFmtId="10" fontId="56" fillId="0" borderId="0" xfId="42" applyNumberFormat="1" applyFont="1">
      <alignment/>
      <protection/>
    </xf>
    <xf numFmtId="165" fontId="56" fillId="0" borderId="0" xfId="42" applyNumberFormat="1" applyFont="1">
      <alignment/>
      <protection/>
    </xf>
    <xf numFmtId="164" fontId="56" fillId="0" borderId="0" xfId="0" applyNumberFormat="1" applyFont="1" applyAlignment="1">
      <alignment/>
    </xf>
    <xf numFmtId="0" fontId="11" fillId="0" borderId="0" xfId="42" applyNumberFormat="1" applyFont="1">
      <alignment/>
      <protection/>
    </xf>
    <xf numFmtId="0" fontId="57" fillId="0" borderId="0" xfId="42" applyNumberFormat="1" applyFont="1" applyAlignment="1">
      <alignment wrapText="1"/>
      <protection/>
    </xf>
    <xf numFmtId="0" fontId="11" fillId="0" borderId="0" xfId="0" applyFont="1" applyFill="1" applyAlignment="1">
      <alignment/>
    </xf>
    <xf numFmtId="0" fontId="13" fillId="0" borderId="0" xfId="42" applyNumberFormat="1" applyFont="1" applyAlignment="1">
      <alignment horizontal="right"/>
      <protection/>
    </xf>
    <xf numFmtId="0" fontId="14" fillId="0" borderId="0" xfId="42" applyNumberFormat="1" applyFont="1" applyAlignment="1">
      <alignment horizontal="left"/>
      <protection/>
    </xf>
    <xf numFmtId="0" fontId="13" fillId="0" borderId="0" xfId="0" applyFont="1" applyAlignment="1">
      <alignment/>
    </xf>
    <xf numFmtId="0" fontId="58" fillId="0" borderId="0" xfId="42" applyNumberFormat="1" applyFont="1" applyAlignment="1">
      <alignment horizontal="right"/>
      <protection/>
    </xf>
    <xf numFmtId="165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42" applyNumberFormat="1" applyFont="1">
      <alignment/>
      <protection/>
    </xf>
    <xf numFmtId="0" fontId="13" fillId="0" borderId="8" xfId="42" applyNumberFormat="1" applyFont="1" applyBorder="1" applyAlignment="1">
      <alignment horizontal="left"/>
      <protection/>
    </xf>
    <xf numFmtId="2" fontId="13" fillId="0" borderId="8" xfId="0" applyNumberFormat="1" applyFont="1" applyBorder="1" applyAlignment="1">
      <alignment/>
    </xf>
    <xf numFmtId="165" fontId="14" fillId="33" borderId="8" xfId="0" applyNumberFormat="1" applyFont="1" applyFill="1" applyBorder="1" applyAlignment="1">
      <alignment/>
    </xf>
    <xf numFmtId="0" fontId="15" fillId="0" borderId="0" xfId="42" applyNumberFormat="1" applyFont="1" applyAlignment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6" fillId="0" borderId="0" xfId="42" applyNumberFormat="1" applyFont="1" applyAlignment="1">
      <alignment horizontal="right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42" applyNumberFormat="1" applyFont="1" applyAlignment="1">
      <alignment wrapText="1"/>
      <protection/>
    </xf>
    <xf numFmtId="0" fontId="16" fillId="0" borderId="0" xfId="0" applyFont="1" applyAlignment="1">
      <alignment horizontal="center" vertical="center"/>
    </xf>
    <xf numFmtId="0" fontId="16" fillId="0" borderId="0" xfId="42" applyNumberFormat="1" applyFont="1" applyAlignment="1">
      <alignment horizontal="center" vertical="center"/>
      <protection/>
    </xf>
    <xf numFmtId="0" fontId="60" fillId="0" borderId="0" xfId="59" applyFont="1" applyAlignment="1">
      <alignment horizontal="center" vertical="center" wrapText="1"/>
    </xf>
    <xf numFmtId="170" fontId="14" fillId="0" borderId="8" xfId="0" applyNumberFormat="1" applyFont="1" applyBorder="1" applyAlignment="1" applyProtection="1">
      <alignment horizontal="left"/>
      <protection locked="0"/>
    </xf>
    <xf numFmtId="0" fontId="14" fillId="0" borderId="8" xfId="42" applyNumberFormat="1" applyFont="1" applyBorder="1" applyAlignment="1" applyProtection="1">
      <alignment horizontal="left"/>
      <protection locked="0"/>
    </xf>
    <xf numFmtId="0" fontId="14" fillId="0" borderId="8" xfId="42" applyNumberFormat="1" applyFont="1" applyBorder="1" applyAlignment="1" applyProtection="1" quotePrefix="1">
      <alignment horizontal="left"/>
      <protection locked="0"/>
    </xf>
    <xf numFmtId="0" fontId="13" fillId="0" borderId="8" xfId="42" applyNumberFormat="1" applyFont="1" applyBorder="1" applyAlignment="1" applyProtection="1">
      <alignment horizontal="left"/>
      <protection locked="0"/>
    </xf>
    <xf numFmtId="2" fontId="14" fillId="0" borderId="8" xfId="0" applyNumberFormat="1" applyFont="1" applyBorder="1" applyAlignment="1" applyProtection="1">
      <alignment horizontal="left"/>
      <protection locked="0"/>
    </xf>
    <xf numFmtId="0" fontId="61" fillId="0" borderId="0" xfId="42" applyNumberFormat="1" applyFont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008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ico.maps.arcgis.com/apps/instant/lookup/index.html?appid=2505242e56c847eeb356565ded175038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="153" zoomScaleNormal="153" zoomScalePageLayoutView="0" workbookViewId="0" topLeftCell="A1">
      <selection activeCell="B2" sqref="B2"/>
    </sheetView>
  </sheetViews>
  <sheetFormatPr defaultColWidth="9.140625" defaultRowHeight="12.75"/>
  <cols>
    <col min="1" max="1" width="41.00390625" style="59" customWidth="1"/>
    <col min="2" max="2" width="27.140625" style="59" customWidth="1"/>
    <col min="3" max="3" width="26.140625" style="59" bestFit="1" customWidth="1"/>
    <col min="4" max="4" width="7.421875" style="59" customWidth="1"/>
    <col min="5" max="6" width="9.140625" style="59" customWidth="1"/>
    <col min="7" max="7" width="21.421875" style="59" bestFit="1" customWidth="1"/>
    <col min="8" max="8" width="9.140625" style="59" hidden="1" customWidth="1"/>
    <col min="9" max="9" width="27.00390625" style="59" bestFit="1" customWidth="1"/>
    <col min="10" max="16384" width="9.140625" style="59" customWidth="1"/>
  </cols>
  <sheetData>
    <row r="1" ht="15">
      <c r="A1" s="88" t="s">
        <v>121</v>
      </c>
    </row>
    <row r="2" spans="1:17" ht="15">
      <c r="A2" s="77" t="s">
        <v>43</v>
      </c>
      <c r="B2" s="99"/>
      <c r="F2" s="88"/>
      <c r="J2" s="91"/>
      <c r="K2" s="91"/>
      <c r="L2" s="91"/>
      <c r="P2" s="88"/>
      <c r="Q2" s="91"/>
    </row>
    <row r="3" spans="1:12" ht="15">
      <c r="A3" s="77" t="s">
        <v>86</v>
      </c>
      <c r="B3" s="100"/>
      <c r="D3" s="77"/>
      <c r="E3" s="77"/>
      <c r="F3" s="77"/>
      <c r="J3" s="77"/>
      <c r="K3" s="77"/>
      <c r="L3" s="77"/>
    </row>
    <row r="4" spans="1:12" ht="15">
      <c r="A4" s="77" t="s">
        <v>21</v>
      </c>
      <c r="B4" s="101"/>
      <c r="D4" s="77"/>
      <c r="E4" s="77"/>
      <c r="F4" s="77"/>
      <c r="G4" s="96" t="s">
        <v>138</v>
      </c>
      <c r="H4" s="97"/>
      <c r="I4" s="98" t="s">
        <v>128</v>
      </c>
      <c r="J4" s="77"/>
      <c r="K4" s="77"/>
      <c r="L4" s="77"/>
    </row>
    <row r="5" spans="1:12" ht="15">
      <c r="A5" s="77" t="s">
        <v>87</v>
      </c>
      <c r="B5" s="101"/>
      <c r="C5" s="62"/>
      <c r="D5" s="77"/>
      <c r="E5" s="77"/>
      <c r="F5" s="77"/>
      <c r="G5" s="97" t="s">
        <v>129</v>
      </c>
      <c r="H5" s="97"/>
      <c r="I5" s="97" t="s">
        <v>130</v>
      </c>
      <c r="J5" s="77"/>
      <c r="K5" s="77"/>
      <c r="L5" s="77"/>
    </row>
    <row r="6" spans="1:12" ht="15.75" customHeight="1" hidden="1">
      <c r="A6" s="77" t="s">
        <v>52</v>
      </c>
      <c r="B6" s="102"/>
      <c r="C6" s="62"/>
      <c r="D6" s="77"/>
      <c r="E6" s="77"/>
      <c r="F6" s="77"/>
      <c r="G6" s="97"/>
      <c r="H6" s="97"/>
      <c r="I6" s="97"/>
      <c r="J6" s="77"/>
      <c r="K6" s="77"/>
      <c r="L6" s="77"/>
    </row>
    <row r="7" spans="1:12" ht="15.75" customHeight="1" hidden="1">
      <c r="A7" s="77" t="s">
        <v>100</v>
      </c>
      <c r="B7" s="102"/>
      <c r="C7" s="62"/>
      <c r="D7" s="77"/>
      <c r="E7" s="77"/>
      <c r="F7" s="77"/>
      <c r="G7" s="97" t="s">
        <v>131</v>
      </c>
      <c r="H7" s="97"/>
      <c r="I7" s="97">
        <v>773</v>
      </c>
      <c r="J7" s="77"/>
      <c r="K7" s="77"/>
      <c r="L7" s="77"/>
    </row>
    <row r="8" spans="1:12" ht="15">
      <c r="A8" s="77" t="s">
        <v>77</v>
      </c>
      <c r="B8" s="103"/>
      <c r="C8" s="90" t="s">
        <v>125</v>
      </c>
      <c r="D8" s="80">
        <f>B8*D14</f>
        <v>0</v>
      </c>
      <c r="E8" s="80" t="s">
        <v>24</v>
      </c>
      <c r="F8" s="92"/>
      <c r="G8" s="97" t="s">
        <v>132</v>
      </c>
      <c r="H8" s="97"/>
      <c r="I8" s="97">
        <v>774</v>
      </c>
      <c r="J8" s="77"/>
      <c r="K8" s="77"/>
      <c r="L8" s="77"/>
    </row>
    <row r="9" spans="1:12" ht="15">
      <c r="A9" s="60"/>
      <c r="B9" s="65"/>
      <c r="C9" s="66"/>
      <c r="D9" s="80"/>
      <c r="E9" s="80"/>
      <c r="F9" s="92"/>
      <c r="G9" s="97" t="s">
        <v>58</v>
      </c>
      <c r="H9" s="97"/>
      <c r="I9" s="97">
        <v>772</v>
      </c>
      <c r="J9" s="77"/>
      <c r="K9" s="77"/>
      <c r="L9" s="77"/>
    </row>
    <row r="10" spans="1:12" ht="15">
      <c r="A10" s="87" t="s">
        <v>122</v>
      </c>
      <c r="B10" s="63"/>
      <c r="D10" s="80"/>
      <c r="E10" s="80"/>
      <c r="F10" s="92"/>
      <c r="G10" s="97" t="s">
        <v>133</v>
      </c>
      <c r="H10" s="97"/>
      <c r="I10" s="97">
        <v>771</v>
      </c>
      <c r="J10" s="77"/>
      <c r="K10" s="77"/>
      <c r="L10" s="77"/>
    </row>
    <row r="11" spans="1:12" ht="15">
      <c r="A11" s="77" t="s">
        <v>56</v>
      </c>
      <c r="B11" s="78"/>
      <c r="D11" s="80"/>
      <c r="E11" s="80"/>
      <c r="F11" s="92"/>
      <c r="G11" s="97" t="s">
        <v>134</v>
      </c>
      <c r="H11" s="97"/>
      <c r="I11" s="97">
        <v>770</v>
      </c>
      <c r="J11" s="77"/>
      <c r="K11" s="77"/>
      <c r="L11" s="77"/>
    </row>
    <row r="12" spans="1:12" ht="15">
      <c r="A12" s="77" t="s">
        <v>80</v>
      </c>
      <c r="B12" s="84">
        <v>0.5</v>
      </c>
      <c r="C12" s="66" t="s">
        <v>66</v>
      </c>
      <c r="D12" s="80"/>
      <c r="E12" s="80"/>
      <c r="F12" s="92"/>
      <c r="G12" s="97" t="s">
        <v>135</v>
      </c>
      <c r="H12" s="97"/>
      <c r="I12" s="97">
        <v>775</v>
      </c>
      <c r="J12" s="77"/>
      <c r="K12" s="77"/>
      <c r="L12" s="77"/>
    </row>
    <row r="13" spans="1:12" ht="15">
      <c r="A13" s="77" t="s">
        <v>62</v>
      </c>
      <c r="B13" s="84">
        <v>0.75</v>
      </c>
      <c r="C13" s="66" t="s">
        <v>66</v>
      </c>
      <c r="D13" s="80"/>
      <c r="E13" s="80"/>
      <c r="F13" s="92"/>
      <c r="G13" s="97" t="s">
        <v>136</v>
      </c>
      <c r="H13" s="97"/>
      <c r="I13" s="97">
        <v>776</v>
      </c>
      <c r="J13" s="77"/>
      <c r="K13" s="77"/>
      <c r="L13" s="77"/>
    </row>
    <row r="14" spans="1:12" ht="15">
      <c r="A14" s="77" t="s">
        <v>41</v>
      </c>
      <c r="B14" s="84">
        <v>0.8</v>
      </c>
      <c r="C14" s="66" t="s">
        <v>9</v>
      </c>
      <c r="D14" s="80">
        <v>1</v>
      </c>
      <c r="E14" s="80"/>
      <c r="F14" s="92"/>
      <c r="G14" s="97" t="s">
        <v>137</v>
      </c>
      <c r="H14" s="97"/>
      <c r="I14" s="97">
        <v>777</v>
      </c>
      <c r="J14" s="77"/>
      <c r="K14" s="77"/>
      <c r="L14" s="77"/>
    </row>
    <row r="15" spans="1:9" ht="15">
      <c r="A15" s="77" t="s">
        <v>55</v>
      </c>
      <c r="B15" s="100"/>
      <c r="C15" s="90" t="s">
        <v>126</v>
      </c>
      <c r="G15" s="89"/>
      <c r="H15" s="89"/>
      <c r="I15" s="89"/>
    </row>
    <row r="16" spans="1:3" ht="15">
      <c r="A16" s="60"/>
      <c r="B16" s="61"/>
      <c r="C16" s="60"/>
    </row>
    <row r="17" spans="1:3" ht="15">
      <c r="A17" s="87" t="s">
        <v>123</v>
      </c>
      <c r="B17" s="61"/>
      <c r="C17" s="60"/>
    </row>
    <row r="18" spans="1:15" ht="15">
      <c r="A18" s="77" t="s">
        <v>99</v>
      </c>
      <c r="B18" s="100"/>
      <c r="C18" s="90" t="s">
        <v>127</v>
      </c>
      <c r="H18" s="94"/>
      <c r="I18" s="94"/>
      <c r="J18" s="93"/>
      <c r="K18" s="93"/>
      <c r="L18" s="93"/>
      <c r="M18" s="93"/>
      <c r="N18" s="93"/>
      <c r="O18" s="93"/>
    </row>
    <row r="19" spans="1:2" ht="15">
      <c r="A19" s="77" t="s">
        <v>98</v>
      </c>
      <c r="B19" s="84" t="e">
        <f>VLOOKUP($B$18,Rate_Sheet!$Q$2:$W$9,2,1)</f>
        <v>#N/A</v>
      </c>
    </row>
    <row r="20" spans="1:3" ht="15" hidden="1">
      <c r="A20" s="66" t="s">
        <v>18</v>
      </c>
      <c r="B20" s="69" t="e">
        <f>D35</f>
        <v>#N/A</v>
      </c>
      <c r="C20" s="60"/>
    </row>
    <row r="21" ht="15" hidden="1"/>
    <row r="22" spans="1:9" s="62" customFormat="1" ht="15" hidden="1">
      <c r="A22" s="66" t="s">
        <v>36</v>
      </c>
      <c r="B22" s="68">
        <v>1</v>
      </c>
      <c r="G22" s="59"/>
      <c r="H22" s="59"/>
      <c r="I22" s="59"/>
    </row>
    <row r="23" spans="1:9" s="62" customFormat="1" ht="15" hidden="1">
      <c r="A23" s="66" t="s">
        <v>73</v>
      </c>
      <c r="B23" s="68">
        <v>0</v>
      </c>
      <c r="C23" s="62" t="s">
        <v>68</v>
      </c>
      <c r="G23" s="59"/>
      <c r="H23" s="59"/>
      <c r="I23" s="59"/>
    </row>
    <row r="24" spans="1:9" s="62" customFormat="1" ht="15" hidden="1">
      <c r="A24" s="66" t="s">
        <v>34</v>
      </c>
      <c r="B24" s="68">
        <v>1</v>
      </c>
      <c r="G24" s="59"/>
      <c r="H24" s="59"/>
      <c r="I24" s="59"/>
    </row>
    <row r="25" spans="1:9" s="62" customFormat="1" ht="15" hidden="1">
      <c r="A25" s="66" t="s">
        <v>96</v>
      </c>
      <c r="B25" s="68">
        <v>0</v>
      </c>
      <c r="C25" s="62" t="s">
        <v>68</v>
      </c>
      <c r="G25" s="59"/>
      <c r="H25" s="59"/>
      <c r="I25" s="59"/>
    </row>
    <row r="26" spans="1:9" s="62" customFormat="1" ht="15" hidden="1">
      <c r="A26" s="66" t="s">
        <v>46</v>
      </c>
      <c r="B26" s="68">
        <v>1</v>
      </c>
      <c r="G26" s="59"/>
      <c r="H26" s="59"/>
      <c r="I26" s="59"/>
    </row>
    <row r="27" spans="1:9" s="62" customFormat="1" ht="15" hidden="1">
      <c r="A27" s="62" t="s">
        <v>19</v>
      </c>
      <c r="G27" s="59"/>
      <c r="H27" s="59"/>
      <c r="I27" s="59"/>
    </row>
    <row r="28" spans="1:9" s="62" customFormat="1" ht="15" hidden="1">
      <c r="A28" s="66" t="s">
        <v>35</v>
      </c>
      <c r="B28" s="70" t="e">
        <f>ROUND(VLOOKUP($B$18,Rate_Sheet!$Q$2:$W$9,3,1),0)</f>
        <v>#N/A</v>
      </c>
      <c r="C28" s="71">
        <f>B22</f>
        <v>1</v>
      </c>
      <c r="D28" s="72" t="e">
        <f>B28*C28</f>
        <v>#N/A</v>
      </c>
      <c r="G28" s="59"/>
      <c r="H28" s="59"/>
      <c r="I28" s="59"/>
    </row>
    <row r="29" spans="1:9" s="62" customFormat="1" ht="15" hidden="1">
      <c r="A29" s="66" t="s">
        <v>72</v>
      </c>
      <c r="B29" s="70" t="e">
        <f>ROUND(VLOOKUP($B$18,Rate_Sheet!$Q$2:$W$9,4,1),0)</f>
        <v>#N/A</v>
      </c>
      <c r="C29" s="71">
        <f>B23</f>
        <v>0</v>
      </c>
      <c r="D29" s="72" t="e">
        <f>B29*C29</f>
        <v>#N/A</v>
      </c>
      <c r="G29" s="59"/>
      <c r="H29" s="59"/>
      <c r="I29" s="59"/>
    </row>
    <row r="30" spans="1:9" s="62" customFormat="1" ht="15" hidden="1">
      <c r="A30" s="66" t="s">
        <v>33</v>
      </c>
      <c r="B30" s="70" t="e">
        <f>ROUND(VLOOKUP($B$18,Rate_Sheet!$Q$2:$W$9,5,1),0)</f>
        <v>#N/A</v>
      </c>
      <c r="C30" s="71">
        <f>B24</f>
        <v>1</v>
      </c>
      <c r="D30" s="72" t="e">
        <f>B30*C30</f>
        <v>#N/A</v>
      </c>
      <c r="G30" s="59"/>
      <c r="H30" s="59"/>
      <c r="I30" s="59"/>
    </row>
    <row r="31" spans="1:9" s="62" customFormat="1" ht="15" hidden="1">
      <c r="A31" s="66" t="s">
        <v>95</v>
      </c>
      <c r="B31" s="70" t="e">
        <f>ROUND(VLOOKUP($B$18,Rate_Sheet!$Q$2:$W$9,6,1),0)</f>
        <v>#N/A</v>
      </c>
      <c r="C31" s="71">
        <f>B25</f>
        <v>0</v>
      </c>
      <c r="D31" s="72" t="e">
        <f>B31*C31</f>
        <v>#N/A</v>
      </c>
      <c r="G31" s="59"/>
      <c r="H31" s="59"/>
      <c r="I31" s="59"/>
    </row>
    <row r="32" spans="1:9" s="62" customFormat="1" ht="15" hidden="1">
      <c r="A32" s="66" t="s">
        <v>45</v>
      </c>
      <c r="B32" s="70" t="e">
        <f>ROUND(VLOOKUP($B$18,Rate_Sheet!$Q$2:$W$9,7,1),0)</f>
        <v>#N/A</v>
      </c>
      <c r="C32" s="71">
        <f>B26</f>
        <v>1</v>
      </c>
      <c r="D32" s="72" t="e">
        <f>B32*C32</f>
        <v>#N/A</v>
      </c>
      <c r="G32" s="59"/>
      <c r="H32" s="59"/>
      <c r="I32" s="59"/>
    </row>
    <row r="33" spans="1:9" s="62" customFormat="1" ht="15" hidden="1">
      <c r="A33" s="66" t="s">
        <v>88</v>
      </c>
      <c r="B33" s="64"/>
      <c r="C33" s="64"/>
      <c r="D33" s="73" t="e">
        <f>SUM(D28:D32)</f>
        <v>#N/A</v>
      </c>
      <c r="G33" s="59"/>
      <c r="H33" s="59"/>
      <c r="I33" s="59"/>
    </row>
    <row r="34" spans="1:4" ht="15" hidden="1">
      <c r="A34" s="87" t="s">
        <v>55</v>
      </c>
      <c r="B34" s="74"/>
      <c r="D34" s="62">
        <f>B15</f>
        <v>0</v>
      </c>
    </row>
    <row r="35" spans="1:9" s="62" customFormat="1" ht="15" hidden="1">
      <c r="A35" s="66" t="s">
        <v>91</v>
      </c>
      <c r="D35" s="70" t="e">
        <f>D34*D33</f>
        <v>#N/A</v>
      </c>
      <c r="G35" s="59"/>
      <c r="H35" s="59"/>
      <c r="I35" s="59"/>
    </row>
    <row r="36" spans="1:9" s="62" customFormat="1" ht="15" hidden="1">
      <c r="A36" s="62" t="s">
        <v>48</v>
      </c>
      <c r="G36" s="59"/>
      <c r="H36" s="59"/>
      <c r="I36" s="59"/>
    </row>
    <row r="37" spans="1:4" ht="15" hidden="1">
      <c r="A37" s="77" t="s">
        <v>23</v>
      </c>
      <c r="B37" s="85">
        <f>D8</f>
        <v>0</v>
      </c>
      <c r="C37" s="79"/>
      <c r="D37" s="79"/>
    </row>
    <row r="38" spans="1:9" s="62" customFormat="1" ht="15">
      <c r="A38" s="80" t="s">
        <v>17</v>
      </c>
      <c r="B38" s="81" t="e">
        <f>B20</f>
        <v>#N/A</v>
      </c>
      <c r="C38" s="82"/>
      <c r="D38" s="82"/>
      <c r="G38" s="59"/>
      <c r="H38" s="59"/>
      <c r="I38" s="59"/>
    </row>
    <row r="39" spans="1:9" s="62" customFormat="1" ht="15" hidden="1">
      <c r="A39" s="80" t="s">
        <v>50</v>
      </c>
      <c r="B39" s="83">
        <v>0</v>
      </c>
      <c r="C39" s="82"/>
      <c r="D39" s="82"/>
      <c r="G39" s="59"/>
      <c r="H39" s="59"/>
      <c r="I39" s="59"/>
    </row>
    <row r="40" spans="1:9" s="62" customFormat="1" ht="15" hidden="1">
      <c r="A40" s="80" t="s">
        <v>83</v>
      </c>
      <c r="B40" s="83">
        <v>0</v>
      </c>
      <c r="C40" s="82"/>
      <c r="D40" s="82"/>
      <c r="G40" s="59"/>
      <c r="H40" s="59"/>
      <c r="I40" s="59"/>
    </row>
    <row r="41" spans="1:256" ht="15">
      <c r="A41" s="87" t="s">
        <v>124</v>
      </c>
      <c r="B41" s="86" t="e">
        <f>(B37*B38)-B39-B40</f>
        <v>#N/A</v>
      </c>
      <c r="E41" s="75"/>
      <c r="F41" s="75"/>
      <c r="G41" s="95"/>
      <c r="H41" s="95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2:4" ht="36" customHeight="1">
      <c r="B42" s="104" t="s">
        <v>117</v>
      </c>
      <c r="C42" s="104"/>
      <c r="D42" s="104"/>
    </row>
    <row r="43" ht="15" hidden="1">
      <c r="A43" s="59" t="s">
        <v>82</v>
      </c>
    </row>
    <row r="44" ht="15" hidden="1">
      <c r="A44" s="59" t="s">
        <v>20</v>
      </c>
    </row>
    <row r="45" ht="15" hidden="1">
      <c r="A45" s="74" t="s">
        <v>51</v>
      </c>
    </row>
    <row r="46" spans="1:4" ht="15" hidden="1">
      <c r="A46" s="60" t="s">
        <v>31</v>
      </c>
      <c r="B46" s="67"/>
      <c r="C46" s="60" t="s">
        <v>22</v>
      </c>
      <c r="D46" s="67"/>
    </row>
    <row r="47" ht="15" hidden="1"/>
    <row r="48" spans="1:4" ht="15" hidden="1">
      <c r="A48" s="76" t="s">
        <v>27</v>
      </c>
      <c r="B48" s="76" t="s">
        <v>15</v>
      </c>
      <c r="C48" s="59" t="s">
        <v>27</v>
      </c>
      <c r="D48" s="59" t="s">
        <v>15</v>
      </c>
    </row>
    <row r="49" spans="1:4" ht="15" hidden="1">
      <c r="A49" s="76" t="s">
        <v>30</v>
      </c>
      <c r="B49" s="76" t="s">
        <v>0</v>
      </c>
      <c r="C49" s="76" t="s">
        <v>89</v>
      </c>
      <c r="D49" s="76" t="s">
        <v>5</v>
      </c>
    </row>
    <row r="50" spans="1:4" ht="15" hidden="1">
      <c r="A50" s="76" t="s">
        <v>38</v>
      </c>
      <c r="B50" s="76" t="s">
        <v>1</v>
      </c>
      <c r="C50" s="76" t="s">
        <v>59</v>
      </c>
      <c r="D50" s="76" t="s">
        <v>6</v>
      </c>
    </row>
    <row r="51" spans="1:4" ht="15" hidden="1">
      <c r="A51" s="76" t="s">
        <v>58</v>
      </c>
      <c r="B51" s="76" t="s">
        <v>2</v>
      </c>
      <c r="C51" s="76" t="s">
        <v>76</v>
      </c>
      <c r="D51" s="76" t="s">
        <v>7</v>
      </c>
    </row>
    <row r="52" spans="1:4" ht="15" hidden="1">
      <c r="A52" s="76" t="s">
        <v>28</v>
      </c>
      <c r="B52" s="76" t="s">
        <v>3</v>
      </c>
      <c r="C52" s="59" t="s">
        <v>54</v>
      </c>
      <c r="D52" s="59" t="s">
        <v>8</v>
      </c>
    </row>
    <row r="53" spans="1:2" ht="15" hidden="1">
      <c r="A53" s="76" t="s">
        <v>57</v>
      </c>
      <c r="B53" s="76" t="s">
        <v>4</v>
      </c>
    </row>
    <row r="54" ht="15" hidden="1">
      <c r="A54" s="59" t="s">
        <v>53</v>
      </c>
    </row>
    <row r="55" ht="15" hidden="1">
      <c r="A55" s="59" t="s">
        <v>116</v>
      </c>
    </row>
    <row r="56" ht="15" hidden="1"/>
  </sheetData>
  <sheetProtection password="ED7E" sheet="1"/>
  <mergeCells count="1">
    <mergeCell ref="B42:D42"/>
  </mergeCells>
  <hyperlinks>
    <hyperlink ref="I4" r:id="rId1" display="https://chico.maps.arcgis.com/apps/instant/lookup/index.html?appid=2505242e56c847eeb356565ded175038"/>
  </hyperlinks>
  <printOptions/>
  <pageMargins left="0.75" right="0.75" top="1" bottom="1" header="0.5" footer="0.5"/>
  <pageSetup fitToHeight="1" fitToWidth="1" horizontalDpi="600" verticalDpi="600" orientation="portrait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68.140625" style="0" customWidth="1"/>
    <col min="2" max="2" width="21.28125" style="0" customWidth="1"/>
    <col min="3" max="3" width="20.421875" style="0" customWidth="1"/>
    <col min="4" max="4" width="11.28125" style="0" customWidth="1"/>
  </cols>
  <sheetData>
    <row r="1" ht="12.75">
      <c r="B1" s="32" t="s">
        <v>109</v>
      </c>
    </row>
    <row r="2" ht="12.75">
      <c r="B2" s="11" t="s">
        <v>85</v>
      </c>
    </row>
    <row r="3" ht="12.75">
      <c r="B3" s="32" t="s">
        <v>25</v>
      </c>
    </row>
    <row r="5" spans="1:2" ht="12.75">
      <c r="A5" s="3" t="s">
        <v>43</v>
      </c>
      <c r="B5" s="28">
        <v>42566</v>
      </c>
    </row>
    <row r="6" spans="1:2" ht="12.75">
      <c r="A6" s="3" t="s">
        <v>86</v>
      </c>
      <c r="B6" s="13"/>
    </row>
    <row r="7" ht="12.75">
      <c r="B7" s="14"/>
    </row>
    <row r="8" spans="1:2" ht="12.75">
      <c r="A8" s="3" t="s">
        <v>21</v>
      </c>
      <c r="B8" s="29" t="s">
        <v>104</v>
      </c>
    </row>
    <row r="9" spans="1:2" ht="12.75">
      <c r="A9" s="3"/>
      <c r="B9" s="14"/>
    </row>
    <row r="10" spans="1:2" ht="13.5">
      <c r="A10" s="1" t="s">
        <v>87</v>
      </c>
      <c r="B10" s="31" t="s">
        <v>105</v>
      </c>
    </row>
    <row r="11" spans="1:2" ht="12.75">
      <c r="A11" s="3"/>
      <c r="B11" s="14"/>
    </row>
    <row r="12" spans="1:2" ht="12.75">
      <c r="A12" s="3" t="s">
        <v>52</v>
      </c>
      <c r="B12" s="14"/>
    </row>
    <row r="13" spans="1:2" ht="12.75">
      <c r="A13" s="3"/>
      <c r="B13" s="14"/>
    </row>
    <row r="14" spans="1:4" ht="12.75">
      <c r="A14" s="3" t="s">
        <v>100</v>
      </c>
      <c r="B14" s="14"/>
      <c r="D14" s="8"/>
    </row>
    <row r="15" ht="12.75">
      <c r="B15" s="14"/>
    </row>
    <row r="16" spans="1:2" ht="12.75">
      <c r="A16" s="3" t="s">
        <v>56</v>
      </c>
      <c r="B16" s="13"/>
    </row>
    <row r="17" spans="1:4" ht="12.75">
      <c r="A17" s="3" t="s">
        <v>80</v>
      </c>
      <c r="B17" s="14">
        <v>0.65</v>
      </c>
      <c r="C17" s="3" t="s">
        <v>66</v>
      </c>
      <c r="D17" s="13"/>
    </row>
    <row r="18" spans="1:4" ht="12.75">
      <c r="A18" s="3" t="s">
        <v>62</v>
      </c>
      <c r="B18" s="14">
        <v>0.75</v>
      </c>
      <c r="C18" s="3" t="s">
        <v>66</v>
      </c>
      <c r="D18" s="13"/>
    </row>
    <row r="19" spans="1:4" ht="12.75">
      <c r="A19" s="3" t="s">
        <v>41</v>
      </c>
      <c r="B19" s="14">
        <v>0.8</v>
      </c>
      <c r="C19" s="3" t="s">
        <v>9</v>
      </c>
      <c r="D19" s="12">
        <v>1</v>
      </c>
    </row>
    <row r="20" spans="1:3" ht="12.75">
      <c r="A20" s="3" t="s">
        <v>55</v>
      </c>
      <c r="B20" s="13">
        <v>0.65</v>
      </c>
      <c r="C20" s="3"/>
    </row>
    <row r="21" spans="1:4" ht="12.75">
      <c r="A21" s="3" t="s">
        <v>98</v>
      </c>
      <c r="B21" s="14" t="str">
        <f>Rate_Sheet!R22</f>
        <v>NWCSPA</v>
      </c>
      <c r="C21" s="3" t="s">
        <v>99</v>
      </c>
      <c r="D21" s="13">
        <v>778</v>
      </c>
    </row>
    <row r="22" spans="2:3" ht="12.75">
      <c r="B22" s="14"/>
      <c r="C22" s="3"/>
    </row>
    <row r="23" spans="1:3" ht="12.75">
      <c r="A23" s="3" t="s">
        <v>18</v>
      </c>
      <c r="B23" s="15">
        <f>B20*Rate_Sheet!S22</f>
        <v>11565.45</v>
      </c>
      <c r="C23" s="3"/>
    </row>
    <row r="24" spans="1:3" ht="12.75">
      <c r="A24" s="3"/>
      <c r="B24" s="14"/>
      <c r="C24" s="3"/>
    </row>
    <row r="25" spans="1:4" ht="12.75">
      <c r="A25" s="3" t="s">
        <v>77</v>
      </c>
      <c r="B25" s="16">
        <v>1</v>
      </c>
      <c r="C25" s="3" t="s">
        <v>24</v>
      </c>
      <c r="D25" s="17">
        <f>B25*D19</f>
        <v>1</v>
      </c>
    </row>
    <row r="26" ht="12.75">
      <c r="B26" s="13"/>
    </row>
    <row r="27" spans="1:2" ht="12.75">
      <c r="A27" s="3" t="s">
        <v>36</v>
      </c>
      <c r="B27" s="12">
        <v>1</v>
      </c>
    </row>
    <row r="28" spans="1:2" ht="12.75">
      <c r="A28" s="3" t="s">
        <v>73</v>
      </c>
      <c r="B28" s="12">
        <v>1</v>
      </c>
    </row>
    <row r="29" spans="1:2" ht="12.75">
      <c r="A29" s="3" t="s">
        <v>34</v>
      </c>
      <c r="B29" s="12">
        <v>1</v>
      </c>
    </row>
    <row r="30" spans="1:2" ht="12.75">
      <c r="A30" s="3" t="s">
        <v>96</v>
      </c>
      <c r="B30" s="12">
        <v>1</v>
      </c>
    </row>
    <row r="31" spans="1:2" ht="12.75">
      <c r="A31" s="3" t="s">
        <v>46</v>
      </c>
      <c r="B31" s="12">
        <v>1</v>
      </c>
    </row>
    <row r="33" ht="12.75">
      <c r="A33" t="s">
        <v>19</v>
      </c>
    </row>
    <row r="35" spans="2:4" ht="12.75">
      <c r="B35" s="3" t="s">
        <v>26</v>
      </c>
      <c r="C35" s="3" t="s">
        <v>71</v>
      </c>
      <c r="D35" s="3" t="s">
        <v>16</v>
      </c>
    </row>
    <row r="36" spans="1:5" ht="12.75">
      <c r="A36" s="33" t="s">
        <v>114</v>
      </c>
      <c r="B36" s="7">
        <f>B23</f>
        <v>11565.45</v>
      </c>
      <c r="C36" s="4">
        <f>B27</f>
        <v>1</v>
      </c>
      <c r="D36" s="5">
        <f>B36*C36</f>
        <v>11565.45</v>
      </c>
      <c r="E36" t="s">
        <v>115</v>
      </c>
    </row>
    <row r="37" spans="1:4" ht="12.75">
      <c r="A37" s="3"/>
      <c r="B37" s="7"/>
      <c r="C37" s="4">
        <f>B28</f>
        <v>1</v>
      </c>
      <c r="D37" s="5">
        <f>B37*C37</f>
        <v>0</v>
      </c>
    </row>
    <row r="38" spans="1:4" ht="12.75">
      <c r="A38" s="3" t="s">
        <v>33</v>
      </c>
      <c r="B38" s="7">
        <f>Rate_Sheet!U10</f>
        <v>353.71148380623436</v>
      </c>
      <c r="C38" s="4">
        <f>B29</f>
        <v>1</v>
      </c>
      <c r="D38" s="5">
        <f>B38*C38</f>
        <v>353.71148380623436</v>
      </c>
    </row>
    <row r="39" spans="1:4" ht="12.75">
      <c r="A39" s="3"/>
      <c r="B39" s="7"/>
      <c r="C39" s="4">
        <f>B30</f>
        <v>1</v>
      </c>
      <c r="D39" s="5">
        <f>B39*C39</f>
        <v>0</v>
      </c>
    </row>
    <row r="40" spans="1:4" ht="12.75">
      <c r="A40" s="3" t="s">
        <v>45</v>
      </c>
      <c r="B40" s="7">
        <f>Rate_Sheet!W10</f>
        <v>328.6453066834022</v>
      </c>
      <c r="C40" s="4">
        <f>B31</f>
        <v>1</v>
      </c>
      <c r="D40" s="5">
        <f>B40*C40</f>
        <v>328.6453066834022</v>
      </c>
    </row>
    <row r="41" spans="1:3" ht="12.75">
      <c r="A41" s="3"/>
      <c r="B41" s="2"/>
      <c r="C41" s="2"/>
    </row>
    <row r="42" spans="1:2" ht="12.75">
      <c r="A42" s="3"/>
      <c r="B42" s="2"/>
    </row>
    <row r="43" spans="1:4" ht="12.75">
      <c r="A43" s="3" t="s">
        <v>91</v>
      </c>
      <c r="D43" s="6">
        <f>SUM(D36:D40)</f>
        <v>12247.806790489636</v>
      </c>
    </row>
    <row r="45" ht="12.75">
      <c r="A45" t="s">
        <v>48</v>
      </c>
    </row>
    <row r="46" spans="1:2" ht="12.75">
      <c r="A46" s="3" t="s">
        <v>23</v>
      </c>
      <c r="B46" s="17">
        <f>D25</f>
        <v>1</v>
      </c>
    </row>
    <row r="47" spans="1:2" ht="12.75">
      <c r="A47" s="3" t="s">
        <v>17</v>
      </c>
      <c r="B47" s="7">
        <f>D43</f>
        <v>12247.806790489636</v>
      </c>
    </row>
    <row r="48" spans="1:2" ht="12.75">
      <c r="A48" s="3" t="s">
        <v>50</v>
      </c>
      <c r="B48" s="8">
        <v>0</v>
      </c>
    </row>
    <row r="49" spans="1:2" ht="12.75">
      <c r="A49" s="3" t="s">
        <v>83</v>
      </c>
      <c r="B49" s="8">
        <v>0</v>
      </c>
    </row>
    <row r="51" spans="1:4" ht="18">
      <c r="A51" s="10" t="s">
        <v>84</v>
      </c>
      <c r="B51" s="30">
        <f>(B46*B47)-B48-B49</f>
        <v>12247.806790489636</v>
      </c>
      <c r="C51" s="9"/>
      <c r="D51" s="9"/>
    </row>
    <row r="53" ht="12.75">
      <c r="A53" t="s">
        <v>82</v>
      </c>
    </row>
    <row r="54" ht="12.75">
      <c r="A54" t="s">
        <v>20</v>
      </c>
    </row>
    <row r="55" ht="13.5">
      <c r="A55" s="27" t="s">
        <v>51</v>
      </c>
    </row>
    <row r="56" spans="1:4" ht="12.75">
      <c r="A56" s="3" t="s">
        <v>31</v>
      </c>
      <c r="B56" s="8"/>
      <c r="C56" s="3" t="s">
        <v>22</v>
      </c>
      <c r="D56" s="8"/>
    </row>
    <row r="58" spans="1:4" ht="12.75">
      <c r="A58" t="s">
        <v>27</v>
      </c>
      <c r="B58" t="s">
        <v>15</v>
      </c>
      <c r="C58" t="s">
        <v>27</v>
      </c>
      <c r="D58" t="s">
        <v>15</v>
      </c>
    </row>
    <row r="59" spans="1:4" ht="12.75">
      <c r="A59" t="s">
        <v>30</v>
      </c>
      <c r="B59" t="s">
        <v>0</v>
      </c>
      <c r="C59" t="s">
        <v>89</v>
      </c>
      <c r="D59" t="s">
        <v>5</v>
      </c>
    </row>
    <row r="60" spans="1:4" ht="12.75">
      <c r="A60" t="s">
        <v>38</v>
      </c>
      <c r="B60" t="s">
        <v>1</v>
      </c>
      <c r="C60" t="s">
        <v>59</v>
      </c>
      <c r="D60" t="s">
        <v>6</v>
      </c>
    </row>
    <row r="61" spans="1:4" ht="12.75">
      <c r="A61" t="s">
        <v>58</v>
      </c>
      <c r="B61" t="s">
        <v>2</v>
      </c>
      <c r="C61" t="s">
        <v>76</v>
      </c>
      <c r="D61" t="s">
        <v>7</v>
      </c>
    </row>
    <row r="62" spans="1:4" ht="12.75">
      <c r="A62" t="s">
        <v>28</v>
      </c>
      <c r="B62" t="s">
        <v>3</v>
      </c>
      <c r="C62" t="s">
        <v>54</v>
      </c>
      <c r="D62" t="s">
        <v>8</v>
      </c>
    </row>
    <row r="63" spans="1:2" ht="12.75">
      <c r="A63" t="s">
        <v>57</v>
      </c>
      <c r="B63" t="s">
        <v>4</v>
      </c>
    </row>
    <row r="64" ht="12.75">
      <c r="A64" t="s">
        <v>53</v>
      </c>
    </row>
    <row r="65" ht="12.75">
      <c r="A65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PageLayoutView="0" workbookViewId="0" topLeftCell="A1">
      <selection activeCell="A9" sqref="A9"/>
    </sheetView>
  </sheetViews>
  <sheetFormatPr defaultColWidth="8.421875" defaultRowHeight="12.75"/>
  <cols>
    <col min="1" max="1" width="4.57421875" style="0" customWidth="1"/>
    <col min="2" max="2" width="6.57421875" style="0" customWidth="1"/>
    <col min="3" max="3" width="4.8515625" style="0" customWidth="1"/>
    <col min="4" max="5" width="8.421875" style="0" customWidth="1"/>
    <col min="6" max="6" width="10.7109375" style="18" customWidth="1"/>
    <col min="7" max="7" width="8.28125" style="18" customWidth="1"/>
    <col min="8" max="8" width="11.140625" style="7" customWidth="1"/>
    <col min="9" max="9" width="8.421875" style="0" customWidth="1"/>
    <col min="10" max="10" width="12.421875" style="23" bestFit="1" customWidth="1"/>
    <col min="11" max="12" width="8.421875" style="0" customWidth="1"/>
    <col min="13" max="13" width="36.421875" style="37" customWidth="1"/>
    <col min="14" max="16" width="8.421875" style="0" customWidth="1"/>
    <col min="17" max="17" width="5.28125" style="0" customWidth="1"/>
    <col min="18" max="18" width="18.00390625" style="0" customWidth="1"/>
    <col min="19" max="24" width="9.57421875" style="0" customWidth="1"/>
  </cols>
  <sheetData>
    <row r="1" spans="6:23" ht="27.75" customHeight="1">
      <c r="F1" s="18" t="s">
        <v>69</v>
      </c>
      <c r="G1" s="18" t="s">
        <v>69</v>
      </c>
      <c r="H1" s="54" t="s">
        <v>93</v>
      </c>
      <c r="I1" s="36"/>
      <c r="M1" s="53" t="s">
        <v>120</v>
      </c>
      <c r="S1" t="s">
        <v>37</v>
      </c>
      <c r="T1" t="s">
        <v>110</v>
      </c>
      <c r="U1" t="s">
        <v>111</v>
      </c>
      <c r="V1" t="s">
        <v>112</v>
      </c>
      <c r="W1" t="s">
        <v>113</v>
      </c>
    </row>
    <row r="2" spans="1:24" ht="12.75">
      <c r="A2">
        <v>770</v>
      </c>
      <c r="B2" t="s">
        <v>29</v>
      </c>
      <c r="F2" s="18" t="s">
        <v>49</v>
      </c>
      <c r="G2" s="18" t="s">
        <v>78</v>
      </c>
      <c r="H2" s="55"/>
      <c r="I2" s="36"/>
      <c r="Q2">
        <f>A2</f>
        <v>770</v>
      </c>
      <c r="R2" s="22" t="str">
        <f>B2</f>
        <v>Butte Creek</v>
      </c>
      <c r="S2" s="24">
        <f>M3</f>
        <v>10815.238461554363</v>
      </c>
      <c r="T2" s="24">
        <f>M4</f>
        <v>0</v>
      </c>
      <c r="U2" s="24">
        <f>M5</f>
        <v>568.7834400434971</v>
      </c>
      <c r="V2" s="24">
        <f>M6</f>
        <v>10168.902325571778</v>
      </c>
      <c r="W2" s="24">
        <f>M7</f>
        <v>511.0757728303587</v>
      </c>
      <c r="X2" s="24">
        <f aca="true" t="shared" si="0" ref="X2:X9">SUM(S2:W2)</f>
        <v>22063.999999999996</v>
      </c>
    </row>
    <row r="3" spans="2:24" ht="12.75">
      <c r="B3" t="s">
        <v>42</v>
      </c>
      <c r="D3" t="s">
        <v>37</v>
      </c>
      <c r="F3" s="18">
        <v>7587.278</v>
      </c>
      <c r="G3" s="20">
        <f>F3/$F$8</f>
        <v>0.49017578234020864</v>
      </c>
      <c r="H3" s="54">
        <f>M3</f>
        <v>10815.238461554363</v>
      </c>
      <c r="I3" s="36"/>
      <c r="J3" s="23">
        <f>G3</f>
        <v>0.49017578234020864</v>
      </c>
      <c r="K3" s="35">
        <f>J3</f>
        <v>0.49017578234020864</v>
      </c>
      <c r="L3">
        <f>L8*K3</f>
        <v>8111.4288461657725</v>
      </c>
      <c r="M3" s="38">
        <f>$M$8*K3</f>
        <v>10815.238461554363</v>
      </c>
      <c r="Q3">
        <f aca="true" t="shared" si="1" ref="Q3:Q10">Q2+1</f>
        <v>771</v>
      </c>
      <c r="R3" s="22" t="s">
        <v>39</v>
      </c>
      <c r="S3" s="24">
        <f>M10</f>
        <v>13618.76383773951</v>
      </c>
      <c r="T3" s="24">
        <f>M11</f>
        <v>7148.492974719446</v>
      </c>
      <c r="U3" s="24">
        <f>M12</f>
        <v>128.12423055020577</v>
      </c>
      <c r="V3" s="24">
        <f>M13</f>
        <v>1960.8564381444187</v>
      </c>
      <c r="W3" s="24">
        <f>M14</f>
        <v>158.76251884641775</v>
      </c>
      <c r="X3" s="24">
        <f t="shared" si="0"/>
        <v>23015</v>
      </c>
    </row>
    <row r="4" spans="4:24" ht="12.75">
      <c r="D4" t="s">
        <v>72</v>
      </c>
      <c r="F4" s="18">
        <v>0</v>
      </c>
      <c r="G4" s="20">
        <f>F4/$F$8</f>
        <v>0</v>
      </c>
      <c r="H4" s="54">
        <f>M4</f>
        <v>0</v>
      </c>
      <c r="I4" s="36"/>
      <c r="J4" s="23">
        <f aca="true" t="shared" si="2" ref="J4:J66">G4</f>
        <v>0</v>
      </c>
      <c r="K4" s="35">
        <f aca="true" t="shared" si="3" ref="K4:K66">J4</f>
        <v>0</v>
      </c>
      <c r="L4">
        <f>L8*K4</f>
        <v>0</v>
      </c>
      <c r="M4" s="38">
        <f>$M$8*K4</f>
        <v>0</v>
      </c>
      <c r="Q4">
        <f t="shared" si="1"/>
        <v>772</v>
      </c>
      <c r="R4" s="22" t="s">
        <v>58</v>
      </c>
      <c r="S4" s="24">
        <f>M17</f>
        <v>11348.862207875734</v>
      </c>
      <c r="T4" s="24">
        <f>M18</f>
        <v>9082.984129063876</v>
      </c>
      <c r="U4" s="24">
        <f>M19</f>
        <v>293.85322590944565</v>
      </c>
      <c r="V4" s="24">
        <f>M20</f>
        <v>4086.085992225877</v>
      </c>
      <c r="W4" s="24">
        <f>M21</f>
        <v>263.21444492506754</v>
      </c>
      <c r="X4" s="24">
        <f t="shared" si="0"/>
        <v>25075.000000000004</v>
      </c>
    </row>
    <row r="5" spans="4:24" ht="12.75">
      <c r="D5" t="s">
        <v>32</v>
      </c>
      <c r="F5" s="18">
        <v>399.022</v>
      </c>
      <c r="G5" s="20">
        <f>F5/$F$8</f>
        <v>0.025778799856938775</v>
      </c>
      <c r="H5" s="54">
        <f>M5</f>
        <v>568.7834400434971</v>
      </c>
      <c r="I5" s="36"/>
      <c r="J5" s="23">
        <f t="shared" si="2"/>
        <v>0.025778799856938775</v>
      </c>
      <c r="K5" s="35">
        <f t="shared" si="3"/>
        <v>0.025778799856938775</v>
      </c>
      <c r="L5">
        <f>L8*K5</f>
        <v>426.58758003262284</v>
      </c>
      <c r="M5" s="38">
        <f>$M$8*K5</f>
        <v>568.7834400434971</v>
      </c>
      <c r="Q5">
        <f t="shared" si="1"/>
        <v>773</v>
      </c>
      <c r="R5" s="22" t="s">
        <v>28</v>
      </c>
      <c r="S5" s="24">
        <f>M24</f>
        <v>13218.005997184438</v>
      </c>
      <c r="T5" s="24">
        <f>M25</f>
        <v>0</v>
      </c>
      <c r="U5" s="24">
        <f>M26</f>
        <v>114.74463776262232</v>
      </c>
      <c r="V5" s="24">
        <f>M27</f>
        <v>5047.347461089177</v>
      </c>
      <c r="W5" s="24">
        <f>M28</f>
        <v>315.90190396376266</v>
      </c>
      <c r="X5" s="24">
        <f t="shared" si="0"/>
        <v>18696</v>
      </c>
    </row>
    <row r="6" spans="4:24" ht="12.75">
      <c r="D6" t="s">
        <v>94</v>
      </c>
      <c r="F6" s="18">
        <v>7133.85</v>
      </c>
      <c r="G6" s="20">
        <f>F6/$F$8</f>
        <v>0.460882085096618</v>
      </c>
      <c r="H6" s="54">
        <f>M6</f>
        <v>10168.902325571778</v>
      </c>
      <c r="I6" s="36"/>
      <c r="J6" s="23">
        <f t="shared" si="2"/>
        <v>0.460882085096618</v>
      </c>
      <c r="K6" s="35">
        <f t="shared" si="3"/>
        <v>0.460882085096618</v>
      </c>
      <c r="L6">
        <f>L8*K6</f>
        <v>7626.676744178834</v>
      </c>
      <c r="M6" s="38">
        <f>$M$8*K6</f>
        <v>10168.902325571778</v>
      </c>
      <c r="Q6">
        <f t="shared" si="1"/>
        <v>774</v>
      </c>
      <c r="R6" s="22" t="s">
        <v>57</v>
      </c>
      <c r="S6" s="24">
        <f>M31</f>
        <v>17051.94857683806</v>
      </c>
      <c r="T6" s="24">
        <f>M32</f>
        <v>0</v>
      </c>
      <c r="U6" s="24">
        <f>M33</f>
        <v>346.2927092785162</v>
      </c>
      <c r="V6" s="24">
        <f>M34</f>
        <v>5094.4721763737525</v>
      </c>
      <c r="W6" s="24">
        <f>M35</f>
        <v>320.28653750967135</v>
      </c>
      <c r="X6" s="24">
        <f t="shared" si="0"/>
        <v>22812.999999999996</v>
      </c>
    </row>
    <row r="7" spans="4:24" ht="12.75">
      <c r="D7" t="s">
        <v>44</v>
      </c>
      <c r="F7" s="18">
        <v>358.538</v>
      </c>
      <c r="G7" s="20">
        <f>F7/$F$8</f>
        <v>0.02316333270623453</v>
      </c>
      <c r="H7" s="54">
        <f>M7</f>
        <v>511.0757728303587</v>
      </c>
      <c r="I7" s="36"/>
      <c r="J7" s="23">
        <f t="shared" si="2"/>
        <v>0.02316333270623453</v>
      </c>
      <c r="K7" s="35">
        <f t="shared" si="3"/>
        <v>0.02316333270623453</v>
      </c>
      <c r="L7">
        <f>L8*K7</f>
        <v>383.30682962276904</v>
      </c>
      <c r="M7" s="38">
        <f>$M$8*K7</f>
        <v>511.0757728303587</v>
      </c>
      <c r="Q7">
        <f t="shared" si="1"/>
        <v>775</v>
      </c>
      <c r="R7" s="22" t="s">
        <v>90</v>
      </c>
      <c r="S7" s="24">
        <f>M38</f>
        <v>13995.277000339905</v>
      </c>
      <c r="T7" s="24">
        <f>M39</f>
        <v>0</v>
      </c>
      <c r="U7" s="24">
        <f>M40</f>
        <v>353.71148380623436</v>
      </c>
      <c r="V7" s="24">
        <f>M41</f>
        <v>5219.366209170458</v>
      </c>
      <c r="W7" s="24">
        <f>M42</f>
        <v>328.6453066834022</v>
      </c>
      <c r="X7" s="24">
        <f t="shared" si="0"/>
        <v>19897</v>
      </c>
    </row>
    <row r="8" spans="6:24" ht="12.75">
      <c r="F8" s="19">
        <f>SUM(F3:F7)</f>
        <v>15478.688000000002</v>
      </c>
      <c r="G8" s="21">
        <f>SUM(G3:G7)</f>
        <v>0.9999999999999999</v>
      </c>
      <c r="H8" s="54">
        <f>SUM(H3:H7)</f>
        <v>22063.999999999996</v>
      </c>
      <c r="I8" s="56" t="s">
        <v>118</v>
      </c>
      <c r="J8" s="23">
        <f t="shared" si="2"/>
        <v>0.9999999999999999</v>
      </c>
      <c r="K8" s="35">
        <f t="shared" si="3"/>
        <v>0.9999999999999999</v>
      </c>
      <c r="L8">
        <v>16548</v>
      </c>
      <c r="M8" s="38">
        <v>22064</v>
      </c>
      <c r="N8" s="51" t="s">
        <v>119</v>
      </c>
      <c r="Q8">
        <f t="shared" si="1"/>
        <v>776</v>
      </c>
      <c r="R8" s="22" t="s">
        <v>60</v>
      </c>
      <c r="S8" s="24">
        <f>M46</f>
        <v>12121.058073916382</v>
      </c>
      <c r="T8" s="24">
        <f>M47</f>
        <v>0</v>
      </c>
      <c r="U8" s="24">
        <f>M48</f>
        <v>311.9389911953191</v>
      </c>
      <c r="V8" s="24">
        <f>M49</f>
        <v>4591.345296751235</v>
      </c>
      <c r="W8" s="24">
        <f>M50</f>
        <v>289.6576381370653</v>
      </c>
      <c r="X8" s="24">
        <f t="shared" si="0"/>
        <v>17314</v>
      </c>
    </row>
    <row r="9" spans="1:24" ht="12.75">
      <c r="A9">
        <v>771</v>
      </c>
      <c r="B9" t="s">
        <v>39</v>
      </c>
      <c r="H9" s="54"/>
      <c r="I9" s="36"/>
      <c r="K9" s="35"/>
      <c r="Q9">
        <f t="shared" si="1"/>
        <v>777</v>
      </c>
      <c r="R9" s="22" t="s">
        <v>76</v>
      </c>
      <c r="S9" s="24">
        <f>M53</f>
        <v>18665.2851574709</v>
      </c>
      <c r="T9" s="24">
        <f>M54</f>
        <v>0</v>
      </c>
      <c r="U9" s="24">
        <f>M55</f>
        <v>352.3350372606302</v>
      </c>
      <c r="V9" s="24">
        <f>M56</f>
        <v>5194.5047427319205</v>
      </c>
      <c r="W9" s="24">
        <f>M57</f>
        <v>325.87506253654976</v>
      </c>
      <c r="X9" s="24">
        <f t="shared" si="0"/>
        <v>24538</v>
      </c>
    </row>
    <row r="10" spans="2:24" ht="12.75">
      <c r="B10" t="s">
        <v>42</v>
      </c>
      <c r="D10" t="s">
        <v>37</v>
      </c>
      <c r="F10" s="18">
        <v>9553.5365</v>
      </c>
      <c r="G10" s="20">
        <f>F10/F$15</f>
        <v>0.5917342532148386</v>
      </c>
      <c r="H10" s="54">
        <f>M10</f>
        <v>13618.76383773951</v>
      </c>
      <c r="I10" s="36"/>
      <c r="J10" s="23">
        <f t="shared" si="2"/>
        <v>0.5917342532148386</v>
      </c>
      <c r="K10" s="35">
        <f t="shared" si="3"/>
        <v>0.5917342532148386</v>
      </c>
      <c r="M10" s="38">
        <f>$M$15*K10</f>
        <v>13618.76383773951</v>
      </c>
      <c r="Q10" s="57">
        <f t="shared" si="1"/>
        <v>778</v>
      </c>
      <c r="R10" s="41" t="str">
        <f>+R22</f>
        <v>NWCSPA</v>
      </c>
      <c r="S10" s="58"/>
      <c r="T10" s="58"/>
      <c r="U10" s="58">
        <f>U7</f>
        <v>353.71148380623436</v>
      </c>
      <c r="V10" s="58"/>
      <c r="W10" s="58">
        <f>W7</f>
        <v>328.6453066834022</v>
      </c>
      <c r="X10" s="58">
        <f>SUM(S10:W10)</f>
        <v>682.3567904896365</v>
      </c>
    </row>
    <row r="11" spans="4:19" ht="12.75">
      <c r="D11" t="s">
        <v>72</v>
      </c>
      <c r="F11" s="18">
        <v>5014.654</v>
      </c>
      <c r="G11" s="20">
        <f>F11/F$15</f>
        <v>0.31060147619897654</v>
      </c>
      <c r="H11" s="54">
        <f>M11</f>
        <v>7148.492974719446</v>
      </c>
      <c r="I11" s="36"/>
      <c r="J11" s="23">
        <f t="shared" si="2"/>
        <v>0.31060147619897654</v>
      </c>
      <c r="K11" s="35">
        <f t="shared" si="3"/>
        <v>0.31060147619897654</v>
      </c>
      <c r="M11" s="38">
        <f>$M$15*K11</f>
        <v>7148.492974719446</v>
      </c>
      <c r="R11" t="s">
        <v>64</v>
      </c>
      <c r="S11">
        <f>S12</f>
        <v>1.078</v>
      </c>
    </row>
    <row r="12" spans="4:19" ht="12.75">
      <c r="D12" t="s">
        <v>32</v>
      </c>
      <c r="F12" s="18">
        <v>89.8789</v>
      </c>
      <c r="G12" s="20">
        <f>F12/F$15</f>
        <v>0.005566988075177309</v>
      </c>
      <c r="H12" s="54">
        <f>M12</f>
        <v>128.12423055020577</v>
      </c>
      <c r="I12" s="36"/>
      <c r="J12" s="23">
        <f t="shared" si="2"/>
        <v>0.005566988075177309</v>
      </c>
      <c r="K12" s="35">
        <f t="shared" si="3"/>
        <v>0.005566988075177309</v>
      </c>
      <c r="M12" s="38">
        <f>$M$15*K12</f>
        <v>128.12423055020577</v>
      </c>
      <c r="S12" s="8">
        <v>1.078</v>
      </c>
    </row>
    <row r="13" spans="4:22" ht="12.75">
      <c r="D13" t="s">
        <v>94</v>
      </c>
      <c r="F13" s="18">
        <v>1375.537</v>
      </c>
      <c r="G13" s="20">
        <f>F13/F$15</f>
        <v>0.0851990631390145</v>
      </c>
      <c r="H13" s="54">
        <f>M13</f>
        <v>1960.8564381444187</v>
      </c>
      <c r="I13" s="36"/>
      <c r="J13" s="23">
        <f t="shared" si="2"/>
        <v>0.0851990631390145</v>
      </c>
      <c r="K13" s="35">
        <f t="shared" si="3"/>
        <v>0.0851990631390145</v>
      </c>
      <c r="M13" s="38">
        <f>$M$15*K13</f>
        <v>1960.8564381444187</v>
      </c>
      <c r="S13" s="8" t="s">
        <v>65</v>
      </c>
      <c r="T13" s="22"/>
      <c r="V13" s="26"/>
    </row>
    <row r="14" spans="4:22" ht="12.75">
      <c r="D14" t="s">
        <v>44</v>
      </c>
      <c r="F14" s="18">
        <v>111.3716</v>
      </c>
      <c r="G14" s="20">
        <f>F14/F$15</f>
        <v>0.00689821937199295</v>
      </c>
      <c r="H14" s="54">
        <f>M14</f>
        <v>158.76251884641775</v>
      </c>
      <c r="I14" s="36"/>
      <c r="J14" s="23">
        <f t="shared" si="2"/>
        <v>0.00689821937199295</v>
      </c>
      <c r="K14" s="35">
        <f t="shared" si="3"/>
        <v>0.00689821937199295</v>
      </c>
      <c r="M14" s="38">
        <f>$M$15*K14</f>
        <v>158.76251884641775</v>
      </c>
      <c r="Q14" s="8">
        <v>770</v>
      </c>
      <c r="R14" s="8" t="s">
        <v>29</v>
      </c>
      <c r="S14" s="25">
        <f>basic_rates!C11</f>
        <v>22064</v>
      </c>
      <c r="T14" s="22"/>
      <c r="V14" s="26"/>
    </row>
    <row r="15" spans="6:22" ht="12.75">
      <c r="F15" s="19">
        <f>SUM(F10:F14)</f>
        <v>16144.978000000001</v>
      </c>
      <c r="G15" s="21">
        <f>SUM(G10:G14)</f>
        <v>1</v>
      </c>
      <c r="H15" s="54">
        <f>SUM(H10:H14)</f>
        <v>23015</v>
      </c>
      <c r="I15" s="56" t="s">
        <v>118</v>
      </c>
      <c r="J15" s="23">
        <f t="shared" si="2"/>
        <v>1</v>
      </c>
      <c r="K15" s="35">
        <f t="shared" si="3"/>
        <v>1</v>
      </c>
      <c r="L15">
        <v>17261</v>
      </c>
      <c r="M15" s="38">
        <v>23015</v>
      </c>
      <c r="N15" s="51" t="s">
        <v>119</v>
      </c>
      <c r="Q15" s="8">
        <v>771</v>
      </c>
      <c r="R15" s="8" t="s">
        <v>38</v>
      </c>
      <c r="S15" s="25">
        <f>basic_rates!C12</f>
        <v>23015</v>
      </c>
      <c r="T15" s="22"/>
      <c r="V15" s="26"/>
    </row>
    <row r="16" spans="1:22" ht="12.75">
      <c r="A16">
        <f>A9+1</f>
        <v>772</v>
      </c>
      <c r="B16" t="s">
        <v>58</v>
      </c>
      <c r="H16" s="36"/>
      <c r="I16" s="36"/>
      <c r="K16" s="35"/>
      <c r="Q16" s="8">
        <v>772</v>
      </c>
      <c r="R16" s="8" t="s">
        <v>58</v>
      </c>
      <c r="S16" s="25">
        <f>basic_rates!C13</f>
        <v>25075</v>
      </c>
      <c r="T16" s="22"/>
      <c r="V16" s="26"/>
    </row>
    <row r="17" spans="2:22" ht="12.75">
      <c r="B17" t="s">
        <v>42</v>
      </c>
      <c r="D17" t="s">
        <v>37</v>
      </c>
      <c r="F17" s="18">
        <v>7961.11762</v>
      </c>
      <c r="G17" s="20">
        <f>F17/F$22</f>
        <v>0.4525966982203683</v>
      </c>
      <c r="H17" s="54">
        <f>M17</f>
        <v>11348.862207875734</v>
      </c>
      <c r="I17" s="36"/>
      <c r="J17" s="23">
        <f t="shared" si="2"/>
        <v>0.4525966982203683</v>
      </c>
      <c r="K17" s="35">
        <f t="shared" si="3"/>
        <v>0.4525966982203683</v>
      </c>
      <c r="M17" s="38">
        <f>$M$22*K17</f>
        <v>11348.862207875734</v>
      </c>
      <c r="Q17" s="8">
        <v>773</v>
      </c>
      <c r="R17" s="8" t="s">
        <v>28</v>
      </c>
      <c r="S17" s="25">
        <f>basic_rates!C14</f>
        <v>18696</v>
      </c>
      <c r="T17" s="22"/>
      <c r="V17" s="26"/>
    </row>
    <row r="18" spans="4:22" ht="12.75">
      <c r="D18" t="s">
        <v>72</v>
      </c>
      <c r="F18" s="18">
        <v>6371.625954</v>
      </c>
      <c r="G18" s="20">
        <f>F18/F$22</f>
        <v>0.36223266716107183</v>
      </c>
      <c r="H18" s="54">
        <f>M18</f>
        <v>9082.984129063876</v>
      </c>
      <c r="I18" s="36"/>
      <c r="J18" s="23">
        <f t="shared" si="2"/>
        <v>0.36223266716107183</v>
      </c>
      <c r="K18" s="35">
        <f t="shared" si="3"/>
        <v>0.36223266716107183</v>
      </c>
      <c r="M18" s="38">
        <f>$M$22*K18</f>
        <v>9082.984129063876</v>
      </c>
      <c r="Q18" s="8">
        <v>774</v>
      </c>
      <c r="R18" s="8" t="s">
        <v>57</v>
      </c>
      <c r="S18" s="25">
        <f>basic_rates!C15</f>
        <v>22813</v>
      </c>
      <c r="T18" s="22"/>
      <c r="V18" s="26"/>
    </row>
    <row r="19" spans="4:22" ht="12.75">
      <c r="D19" t="s">
        <v>32</v>
      </c>
      <c r="F19" s="18">
        <v>206.13521</v>
      </c>
      <c r="G19" s="20">
        <f>F19/F$22</f>
        <v>0.011718972120017773</v>
      </c>
      <c r="H19" s="54">
        <f>M19</f>
        <v>293.85322590944565</v>
      </c>
      <c r="I19" s="36"/>
      <c r="J19" s="23">
        <f t="shared" si="2"/>
        <v>0.011718972120017773</v>
      </c>
      <c r="K19" s="35">
        <f t="shared" si="3"/>
        <v>0.011718972120017773</v>
      </c>
      <c r="M19" s="38">
        <f>$M$22*K19</f>
        <v>293.85322590944565</v>
      </c>
      <c r="Q19" s="8">
        <v>775</v>
      </c>
      <c r="R19" s="8" t="s">
        <v>79</v>
      </c>
      <c r="S19" s="25">
        <f>basic_rates!C16</f>
        <v>19897</v>
      </c>
      <c r="T19" s="22"/>
      <c r="V19" s="26"/>
    </row>
    <row r="20" spans="4:22" ht="12.75">
      <c r="D20" t="s">
        <v>94</v>
      </c>
      <c r="F20" s="18">
        <v>2866.35</v>
      </c>
      <c r="G20" s="20">
        <f>F20/F$22</f>
        <v>0.16295457596115162</v>
      </c>
      <c r="H20" s="54">
        <f>M20</f>
        <v>4086.085992225877</v>
      </c>
      <c r="I20" s="36"/>
      <c r="J20" s="23">
        <f t="shared" si="2"/>
        <v>0.16295457596115162</v>
      </c>
      <c r="K20" s="35">
        <f t="shared" si="3"/>
        <v>0.16295457596115162</v>
      </c>
      <c r="M20" s="38">
        <f>$M$22*K20</f>
        <v>4086.085992225877</v>
      </c>
      <c r="Q20" s="8">
        <v>776</v>
      </c>
      <c r="R20" s="8" t="s">
        <v>61</v>
      </c>
      <c r="S20" s="25">
        <f>basic_rates!C17</f>
        <v>17314</v>
      </c>
      <c r="T20" s="22"/>
      <c r="V20" s="26"/>
    </row>
    <row r="21" spans="4:19" ht="12.75">
      <c r="D21" t="s">
        <v>44</v>
      </c>
      <c r="F21" s="18">
        <v>184.6424</v>
      </c>
      <c r="G21" s="20">
        <f>F21/F$22</f>
        <v>0.010497086537390529</v>
      </c>
      <c r="H21" s="54">
        <f>M21</f>
        <v>263.21444492506754</v>
      </c>
      <c r="I21" s="36"/>
      <c r="J21" s="23">
        <f t="shared" si="2"/>
        <v>0.010497086537390529</v>
      </c>
      <c r="K21" s="35">
        <f t="shared" si="3"/>
        <v>0.010497086537390529</v>
      </c>
      <c r="M21" s="38">
        <f>$M$22*K21</f>
        <v>263.21444492506754</v>
      </c>
      <c r="Q21" s="8">
        <v>777</v>
      </c>
      <c r="R21" s="8" t="s">
        <v>70</v>
      </c>
      <c r="S21" s="25">
        <f>basic_rates!C18</f>
        <v>24538</v>
      </c>
    </row>
    <row r="22" spans="6:19" ht="12.75">
      <c r="F22" s="19">
        <f>SUM(F17:F21)</f>
        <v>17589.871184</v>
      </c>
      <c r="G22" s="21">
        <f>SUM(G17:G21)</f>
        <v>1</v>
      </c>
      <c r="H22" s="54">
        <f>SUM(H17:H21)</f>
        <v>25075.000000000004</v>
      </c>
      <c r="I22" s="56" t="s">
        <v>118</v>
      </c>
      <c r="J22" s="23">
        <f t="shared" si="2"/>
        <v>1</v>
      </c>
      <c r="K22" s="35">
        <f t="shared" si="3"/>
        <v>1</v>
      </c>
      <c r="L22">
        <v>18807</v>
      </c>
      <c r="M22" s="38">
        <v>25075</v>
      </c>
      <c r="N22" s="51" t="s">
        <v>119</v>
      </c>
      <c r="Q22" s="41">
        <v>778</v>
      </c>
      <c r="R22" s="41" t="s">
        <v>107</v>
      </c>
      <c r="S22" s="42">
        <f>basic_rates!C19</f>
        <v>17793</v>
      </c>
    </row>
    <row r="23" spans="1:18" ht="12.75">
      <c r="A23">
        <f>A16+1</f>
        <v>773</v>
      </c>
      <c r="B23" t="s">
        <v>28</v>
      </c>
      <c r="H23" s="36"/>
      <c r="I23" s="36"/>
      <c r="K23" s="35"/>
      <c r="R23" t="s">
        <v>14</v>
      </c>
    </row>
    <row r="24" spans="2:24" ht="12.75">
      <c r="B24" t="s">
        <v>42</v>
      </c>
      <c r="D24" t="s">
        <v>37</v>
      </c>
      <c r="F24" s="18">
        <f>W24/X24</f>
        <v>9272.89509758967</v>
      </c>
      <c r="G24" s="20">
        <f>F24/F$29</f>
        <v>0.7069964696825224</v>
      </c>
      <c r="H24" s="54">
        <f>M24</f>
        <v>13218.005997184438</v>
      </c>
      <c r="I24" s="36"/>
      <c r="J24" s="23">
        <f t="shared" si="2"/>
        <v>0.7069964696825224</v>
      </c>
      <c r="K24" s="35">
        <f t="shared" si="3"/>
        <v>0.7069964696825224</v>
      </c>
      <c r="M24" s="38">
        <f>$M$29*K24</f>
        <v>13218.005997184438</v>
      </c>
      <c r="W24" s="7">
        <v>9330.7932</v>
      </c>
      <c r="X24">
        <v>1.0062438</v>
      </c>
    </row>
    <row r="25" spans="4:24" ht="12.75">
      <c r="D25" t="s">
        <v>72</v>
      </c>
      <c r="F25" s="18">
        <v>0</v>
      </c>
      <c r="G25" s="20">
        <f>F25/F$29</f>
        <v>0</v>
      </c>
      <c r="H25" s="54">
        <f>M25</f>
        <v>0</v>
      </c>
      <c r="I25" s="36"/>
      <c r="J25" s="23">
        <f t="shared" si="2"/>
        <v>0</v>
      </c>
      <c r="K25" s="35">
        <f t="shared" si="3"/>
        <v>0</v>
      </c>
      <c r="M25" s="38">
        <f>$M$29*K25</f>
        <v>0</v>
      </c>
      <c r="W25" s="7">
        <v>0</v>
      </c>
      <c r="X25">
        <v>1.0062438</v>
      </c>
    </row>
    <row r="26" spans="4:24" ht="12.75">
      <c r="D26" t="s">
        <v>32</v>
      </c>
      <c r="F26" s="18">
        <f>W26/X26</f>
        <v>80.49739039385882</v>
      </c>
      <c r="G26" s="20">
        <f>F26/F$29</f>
        <v>0.00613738969633196</v>
      </c>
      <c r="H26" s="54">
        <f>M26</f>
        <v>114.74463776262232</v>
      </c>
      <c r="I26" s="36"/>
      <c r="J26" s="23">
        <f t="shared" si="2"/>
        <v>0.00613738969633196</v>
      </c>
      <c r="K26" s="35">
        <f t="shared" si="3"/>
        <v>0.00613738969633196</v>
      </c>
      <c r="M26" s="38">
        <f>$M$29*K26</f>
        <v>114.74463776262232</v>
      </c>
      <c r="W26" s="7">
        <v>81</v>
      </c>
      <c r="X26">
        <v>1.0062438</v>
      </c>
    </row>
    <row r="27" spans="4:24" ht="12.75">
      <c r="D27" t="s">
        <v>94</v>
      </c>
      <c r="F27" s="18">
        <f>W27/X27</f>
        <v>3540.891382386654</v>
      </c>
      <c r="G27" s="20">
        <f>F27/F$29</f>
        <v>0.26996937639544166</v>
      </c>
      <c r="H27" s="54">
        <f>M27</f>
        <v>5047.347461089177</v>
      </c>
      <c r="I27" s="36"/>
      <c r="J27" s="23">
        <f t="shared" si="2"/>
        <v>0.26996937639544166</v>
      </c>
      <c r="K27" s="35">
        <f t="shared" si="3"/>
        <v>0.26996937639544166</v>
      </c>
      <c r="M27" s="38">
        <f>$M$29*K27</f>
        <v>5047.347461089177</v>
      </c>
      <c r="W27" s="7">
        <v>3563</v>
      </c>
      <c r="X27">
        <v>1.0062438</v>
      </c>
    </row>
    <row r="28" spans="4:24" ht="12.75">
      <c r="D28" t="s">
        <v>44</v>
      </c>
      <c r="F28" s="18">
        <f>W28/X28</f>
        <v>221.61627231889528</v>
      </c>
      <c r="G28" s="20">
        <f>F28/F$29</f>
        <v>0.016896764225704037</v>
      </c>
      <c r="H28" s="54">
        <f>M28</f>
        <v>315.90190396376266</v>
      </c>
      <c r="I28" s="36"/>
      <c r="J28" s="23">
        <f t="shared" si="2"/>
        <v>0.016896764225704037</v>
      </c>
      <c r="K28" s="35">
        <f t="shared" si="3"/>
        <v>0.016896764225704037</v>
      </c>
      <c r="M28" s="38">
        <f>$M$29*K28</f>
        <v>315.90190396376266</v>
      </c>
      <c r="W28" s="7">
        <v>223</v>
      </c>
      <c r="X28">
        <v>1.0062438</v>
      </c>
    </row>
    <row r="29" spans="6:14" ht="12.75">
      <c r="F29" s="18">
        <f>SUM(F24:F28)</f>
        <v>13115.900142689077</v>
      </c>
      <c r="G29" s="21">
        <f>SUM(G24:G28)</f>
        <v>1</v>
      </c>
      <c r="H29" s="54">
        <f>SUM(H24:H28)</f>
        <v>18696</v>
      </c>
      <c r="I29" s="56" t="s">
        <v>118</v>
      </c>
      <c r="J29" s="23">
        <f t="shared" si="2"/>
        <v>1</v>
      </c>
      <c r="K29" s="35">
        <f t="shared" si="3"/>
        <v>1</v>
      </c>
      <c r="L29">
        <v>14021</v>
      </c>
      <c r="M29" s="38">
        <v>18696</v>
      </c>
      <c r="N29" s="51" t="s">
        <v>119</v>
      </c>
    </row>
    <row r="30" spans="1:11" ht="12.75">
      <c r="A30">
        <f>A23+1</f>
        <v>774</v>
      </c>
      <c r="B30" t="s">
        <v>57</v>
      </c>
      <c r="F30" s="19"/>
      <c r="G30" s="19"/>
      <c r="H30" s="36"/>
      <c r="I30" s="36"/>
      <c r="K30" s="35"/>
    </row>
    <row r="31" spans="2:24" ht="12.75">
      <c r="B31" t="s">
        <v>42</v>
      </c>
      <c r="D31" t="s">
        <v>37</v>
      </c>
      <c r="F31" s="18">
        <f>W31*X31</f>
        <v>12172.6756275</v>
      </c>
      <c r="G31" s="20">
        <f>F31/F$36</f>
        <v>0.7474662945179529</v>
      </c>
      <c r="H31" s="54">
        <f>M31</f>
        <v>17051.94857683806</v>
      </c>
      <c r="I31" s="36"/>
      <c r="J31" s="23">
        <f t="shared" si="2"/>
        <v>0.7474662945179529</v>
      </c>
      <c r="K31" s="35">
        <f t="shared" si="3"/>
        <v>0.7474662945179529</v>
      </c>
      <c r="M31" s="38">
        <f>$M$36*K31</f>
        <v>17051.94857683806</v>
      </c>
      <c r="R31" s="23">
        <f>F31/$F$36</f>
        <v>0.7474662945179529</v>
      </c>
      <c r="S31">
        <f>R31*$S$18</f>
        <v>17051.94857683806</v>
      </c>
      <c r="T31" s="23">
        <v>0.747466294517953</v>
      </c>
      <c r="U31">
        <v>16000</v>
      </c>
      <c r="V31">
        <f>T31*U31</f>
        <v>11959.460712287248</v>
      </c>
      <c r="W31" s="7">
        <v>12170.85</v>
      </c>
      <c r="X31">
        <v>1.00015</v>
      </c>
    </row>
    <row r="32" spans="4:24" ht="12.75">
      <c r="D32" t="s">
        <v>72</v>
      </c>
      <c r="F32" s="18">
        <v>0</v>
      </c>
      <c r="G32" s="20">
        <f>F32/F$36</f>
        <v>0</v>
      </c>
      <c r="H32" s="54">
        <f>M32</f>
        <v>0</v>
      </c>
      <c r="I32" s="36"/>
      <c r="J32" s="23">
        <f t="shared" si="2"/>
        <v>0</v>
      </c>
      <c r="K32" s="35">
        <f t="shared" si="3"/>
        <v>0</v>
      </c>
      <c r="M32" s="38">
        <f>$M$36*K32</f>
        <v>0</v>
      </c>
      <c r="R32" s="23">
        <f>F32/$F$36</f>
        <v>0</v>
      </c>
      <c r="S32">
        <f>R32*$S$18</f>
        <v>0</v>
      </c>
      <c r="T32" s="23">
        <v>0</v>
      </c>
      <c r="U32">
        <f>U31</f>
        <v>16000</v>
      </c>
      <c r="V32">
        <f>T32*U32</f>
        <v>0</v>
      </c>
      <c r="W32" s="7">
        <v>0</v>
      </c>
      <c r="X32">
        <f>X31</f>
        <v>1.00015</v>
      </c>
    </row>
    <row r="33" spans="4:24" ht="12.75">
      <c r="D33" t="s">
        <v>32</v>
      </c>
      <c r="F33" s="18">
        <f>W33*X33</f>
        <v>247.20393702930002</v>
      </c>
      <c r="G33" s="20">
        <f>F33/F$36</f>
        <v>0.015179621675295499</v>
      </c>
      <c r="H33" s="54">
        <f>M33</f>
        <v>346.2927092785162</v>
      </c>
      <c r="I33" s="36"/>
      <c r="J33" s="23">
        <f t="shared" si="2"/>
        <v>0.015179621675295499</v>
      </c>
      <c r="K33" s="35">
        <f t="shared" si="3"/>
        <v>0.015179621675295499</v>
      </c>
      <c r="M33" s="38">
        <f>$M$36*K33</f>
        <v>346.2927092785162</v>
      </c>
      <c r="R33" s="23">
        <f>F33/$F$36</f>
        <v>0.015179621675295499</v>
      </c>
      <c r="S33">
        <f>R33*$S$18</f>
        <v>346.2927092785162</v>
      </c>
      <c r="T33" s="23">
        <v>0.0151796216752955</v>
      </c>
      <c r="U33">
        <f>U32</f>
        <v>16000</v>
      </c>
      <c r="V33">
        <f>T33*U33</f>
        <v>242.873946804728</v>
      </c>
      <c r="W33" s="7">
        <v>247.166862</v>
      </c>
      <c r="X33">
        <f>X32</f>
        <v>1.00015</v>
      </c>
    </row>
    <row r="34" spans="4:24" ht="12.75">
      <c r="D34" t="s">
        <v>94</v>
      </c>
      <c r="F34" s="18">
        <f>W34*X34</f>
        <v>3636.7314279000007</v>
      </c>
      <c r="G34" s="20">
        <f>F34/F$36</f>
        <v>0.2233144337164666</v>
      </c>
      <c r="H34" s="54">
        <f>M34</f>
        <v>5094.4721763737525</v>
      </c>
      <c r="I34" s="36"/>
      <c r="J34" s="23">
        <f t="shared" si="2"/>
        <v>0.2233144337164666</v>
      </c>
      <c r="K34" s="35">
        <f t="shared" si="3"/>
        <v>0.2233144337164666</v>
      </c>
      <c r="M34" s="38">
        <f>$M$36*K34</f>
        <v>5094.4721763737525</v>
      </c>
      <c r="R34" s="23">
        <f>F34/$F$36</f>
        <v>0.2233144337164666</v>
      </c>
      <c r="S34">
        <f>R34*$S$18</f>
        <v>5094.4721763737525</v>
      </c>
      <c r="T34" s="23">
        <v>0.2233144337164666</v>
      </c>
      <c r="U34">
        <f>U33</f>
        <v>16000</v>
      </c>
      <c r="V34">
        <f>T34*U34</f>
        <v>3573.0309394634655</v>
      </c>
      <c r="W34" s="7">
        <v>3636.186</v>
      </c>
      <c r="X34">
        <f>X33</f>
        <v>1.00015</v>
      </c>
    </row>
    <row r="35" spans="4:24" ht="12.75">
      <c r="D35" t="s">
        <v>44</v>
      </c>
      <c r="F35" s="18">
        <f>W35*X35</f>
        <v>228.63921453857003</v>
      </c>
      <c r="G35" s="20">
        <f>F35/F$36</f>
        <v>0.014039650090284983</v>
      </c>
      <c r="H35" s="54">
        <f>M35</f>
        <v>320.28653750967135</v>
      </c>
      <c r="I35" s="36"/>
      <c r="J35" s="23">
        <f t="shared" si="2"/>
        <v>0.014039650090284983</v>
      </c>
      <c r="K35" s="35">
        <f t="shared" si="3"/>
        <v>0.014039650090284983</v>
      </c>
      <c r="M35" s="38">
        <f>$M$36*K35</f>
        <v>320.28653750967135</v>
      </c>
      <c r="R35" s="23">
        <f>F35/$F$36</f>
        <v>0.014039650090284983</v>
      </c>
      <c r="S35">
        <f>R35*$S$18</f>
        <v>320.28653750967135</v>
      </c>
      <c r="T35" s="23">
        <v>0.014039650090284983</v>
      </c>
      <c r="U35">
        <f>U34</f>
        <v>16000</v>
      </c>
      <c r="V35">
        <f>T35*U35</f>
        <v>224.63440144455973</v>
      </c>
      <c r="W35" s="7">
        <v>228.6049238</v>
      </c>
      <c r="X35">
        <f>X34</f>
        <v>1.00015</v>
      </c>
    </row>
    <row r="36" spans="6:22" ht="12.75">
      <c r="F36" s="19">
        <f>SUM(F31:F35)</f>
        <v>16285.250206967872</v>
      </c>
      <c r="G36" s="21">
        <f>SUM(G31:G35)</f>
        <v>0.9999999999999999</v>
      </c>
      <c r="H36" s="54">
        <f>SUM(H31:H35)</f>
        <v>22812.999999999996</v>
      </c>
      <c r="I36" s="56" t="s">
        <v>118</v>
      </c>
      <c r="J36" s="23">
        <f t="shared" si="2"/>
        <v>0.9999999999999999</v>
      </c>
      <c r="K36" s="35">
        <f t="shared" si="3"/>
        <v>0.9999999999999999</v>
      </c>
      <c r="L36">
        <v>17109</v>
      </c>
      <c r="M36" s="38">
        <v>22813</v>
      </c>
      <c r="N36" s="51" t="s">
        <v>119</v>
      </c>
      <c r="R36">
        <f>SUM(R31:R35)</f>
        <v>0.9999999999999999</v>
      </c>
      <c r="S36">
        <f>SUM(S31:S35)</f>
        <v>22812.999999999996</v>
      </c>
      <c r="T36">
        <v>1.0000000000000002</v>
      </c>
      <c r="V36">
        <f>SUM(V31:V35)</f>
        <v>16000.000000000002</v>
      </c>
    </row>
    <row r="37" spans="1:11" ht="12.75">
      <c r="A37">
        <f>A30+1</f>
        <v>775</v>
      </c>
      <c r="B37" t="s">
        <v>90</v>
      </c>
      <c r="H37" s="36"/>
      <c r="I37" s="36"/>
      <c r="K37" s="35"/>
    </row>
    <row r="38" spans="2:13" ht="12.75">
      <c r="B38" t="s">
        <v>42</v>
      </c>
      <c r="D38" t="s">
        <v>37</v>
      </c>
      <c r="F38" s="18">
        <v>9818.288</v>
      </c>
      <c r="G38" s="20">
        <f>F38/F$43</f>
        <v>0.7033862894074436</v>
      </c>
      <c r="H38" s="54">
        <f>M38</f>
        <v>13995.277000339905</v>
      </c>
      <c r="I38" s="36"/>
      <c r="J38" s="23">
        <f t="shared" si="2"/>
        <v>0.7033862894074436</v>
      </c>
      <c r="K38" s="35">
        <f t="shared" si="3"/>
        <v>0.7033862894074436</v>
      </c>
      <c r="M38" s="38">
        <f>$M$43*K38</f>
        <v>13995.277000339905</v>
      </c>
    </row>
    <row r="39" spans="4:13" ht="12.75">
      <c r="D39" t="s">
        <v>72</v>
      </c>
      <c r="F39" s="18">
        <v>0</v>
      </c>
      <c r="G39" s="20">
        <f>F39/F$43</f>
        <v>0</v>
      </c>
      <c r="H39" s="54">
        <f>M39</f>
        <v>0</v>
      </c>
      <c r="I39" s="36"/>
      <c r="J39" s="23">
        <f t="shared" si="2"/>
        <v>0</v>
      </c>
      <c r="K39" s="35">
        <f t="shared" si="3"/>
        <v>0</v>
      </c>
      <c r="M39" s="38">
        <f>$M$43*K39</f>
        <v>0</v>
      </c>
    </row>
    <row r="40" spans="4:13" ht="12.75">
      <c r="D40" t="s">
        <v>32</v>
      </c>
      <c r="F40" s="18">
        <v>248.1438</v>
      </c>
      <c r="G40" s="20">
        <f>F40/F$43</f>
        <v>0.017777126391226535</v>
      </c>
      <c r="H40" s="54">
        <f>M40</f>
        <v>353.71148380623436</v>
      </c>
      <c r="I40" s="36"/>
      <c r="J40" s="23">
        <f t="shared" si="2"/>
        <v>0.017777126391226535</v>
      </c>
      <c r="K40" s="35">
        <f t="shared" si="3"/>
        <v>0.017777126391226535</v>
      </c>
      <c r="M40" s="38">
        <f>$M$43*K40</f>
        <v>353.71148380623436</v>
      </c>
    </row>
    <row r="41" spans="4:13" ht="12.75">
      <c r="D41" t="s">
        <v>94</v>
      </c>
      <c r="F41" s="18">
        <v>3661.6096000000002</v>
      </c>
      <c r="G41" s="20">
        <f>F41/F$43</f>
        <v>0.262319254619815</v>
      </c>
      <c r="H41" s="54">
        <f>M41</f>
        <v>5219.366209170458</v>
      </c>
      <c r="I41" s="36"/>
      <c r="J41" s="23">
        <f t="shared" si="2"/>
        <v>0.262319254619815</v>
      </c>
      <c r="K41" s="35">
        <f t="shared" si="3"/>
        <v>0.262319254619815</v>
      </c>
      <c r="M41" s="38">
        <f>$M$43*K41</f>
        <v>5219.366209170458</v>
      </c>
    </row>
    <row r="42" spans="4:13" ht="12.75">
      <c r="D42" t="s">
        <v>44</v>
      </c>
      <c r="F42" s="18">
        <v>230.5588</v>
      </c>
      <c r="G42" s="20">
        <f>F42/F$43</f>
        <v>0.016517329581514913</v>
      </c>
      <c r="H42" s="54">
        <f>M42</f>
        <v>328.6453066834022</v>
      </c>
      <c r="I42" s="36"/>
      <c r="J42" s="23">
        <f t="shared" si="2"/>
        <v>0.016517329581514913</v>
      </c>
      <c r="K42" s="35">
        <f t="shared" si="3"/>
        <v>0.016517329581514913</v>
      </c>
      <c r="M42" s="38">
        <f>$M$43*K42</f>
        <v>328.6453066834022</v>
      </c>
    </row>
    <row r="43" spans="6:14" ht="12.75">
      <c r="F43" s="19">
        <f>SUM(F38:F42)</f>
        <v>13958.6002</v>
      </c>
      <c r="G43" s="21">
        <f>SUM(G38:G42)</f>
        <v>1</v>
      </c>
      <c r="H43" s="54">
        <f>SUM(H38:H42)</f>
        <v>19897</v>
      </c>
      <c r="I43" s="56" t="s">
        <v>118</v>
      </c>
      <c r="J43" s="23">
        <f t="shared" si="2"/>
        <v>1</v>
      </c>
      <c r="K43" s="35">
        <f t="shared" si="3"/>
        <v>1</v>
      </c>
      <c r="L43">
        <v>14922</v>
      </c>
      <c r="M43" s="38">
        <v>19897</v>
      </c>
      <c r="N43" s="51" t="s">
        <v>119</v>
      </c>
    </row>
    <row r="44" spans="6:11" ht="12.75">
      <c r="F44" s="19"/>
      <c r="G44" s="19"/>
      <c r="H44" s="36"/>
      <c r="I44" s="36"/>
      <c r="K44" s="35"/>
    </row>
    <row r="45" spans="1:11" ht="12.75">
      <c r="A45">
        <f>A37+1</f>
        <v>776</v>
      </c>
      <c r="B45" t="s">
        <v>60</v>
      </c>
      <c r="H45" s="36"/>
      <c r="I45" s="36"/>
      <c r="K45" s="35"/>
    </row>
    <row r="46" spans="2:13" ht="12.75">
      <c r="B46" t="s">
        <v>42</v>
      </c>
      <c r="D46" t="s">
        <v>37</v>
      </c>
      <c r="F46" s="18">
        <v>8503.3216</v>
      </c>
      <c r="G46" s="20">
        <f>F46/F$51</f>
        <v>0.7000726622338213</v>
      </c>
      <c r="H46" s="54">
        <f>M46</f>
        <v>12121.058073916382</v>
      </c>
      <c r="I46" s="36"/>
      <c r="J46" s="23">
        <f t="shared" si="2"/>
        <v>0.7000726622338213</v>
      </c>
      <c r="K46" s="35">
        <f t="shared" si="3"/>
        <v>0.7000726622338213</v>
      </c>
      <c r="M46" s="38">
        <f>$M$51*K46</f>
        <v>12121.058073916382</v>
      </c>
    </row>
    <row r="47" spans="4:13" ht="12.75">
      <c r="D47" t="s">
        <v>72</v>
      </c>
      <c r="F47" s="18">
        <v>0</v>
      </c>
      <c r="G47" s="20">
        <f>F47/F$51</f>
        <v>0</v>
      </c>
      <c r="H47" s="54">
        <f>M47</f>
        <v>0</v>
      </c>
      <c r="I47" s="36"/>
      <c r="J47" s="23">
        <f t="shared" si="2"/>
        <v>0</v>
      </c>
      <c r="K47" s="35">
        <f t="shared" si="3"/>
        <v>0</v>
      </c>
      <c r="M47" s="38">
        <f>$M$51*K47</f>
        <v>0</v>
      </c>
    </row>
    <row r="48" spans="4:13" ht="12.75">
      <c r="D48" t="s">
        <v>32</v>
      </c>
      <c r="F48" s="18">
        <v>218.83548</v>
      </c>
      <c r="G48" s="20">
        <f>F48/F$51</f>
        <v>0.018016575672595535</v>
      </c>
      <c r="H48" s="54">
        <f>M48</f>
        <v>311.9389911953191</v>
      </c>
      <c r="I48" s="36"/>
      <c r="J48" s="23">
        <f t="shared" si="2"/>
        <v>0.018016575672595535</v>
      </c>
      <c r="K48" s="35">
        <f t="shared" si="3"/>
        <v>0.018016575672595535</v>
      </c>
      <c r="M48" s="38">
        <f>$M$51*K48</f>
        <v>311.9389911953191</v>
      </c>
    </row>
    <row r="49" spans="4:13" ht="12.75">
      <c r="D49" t="s">
        <v>94</v>
      </c>
      <c r="F49" s="18">
        <v>3220.98</v>
      </c>
      <c r="G49" s="20">
        <f>F49/F$51</f>
        <v>0.2651810844837262</v>
      </c>
      <c r="H49" s="54">
        <f>M49</f>
        <v>4591.345296751235</v>
      </c>
      <c r="I49" s="36"/>
      <c r="J49" s="23">
        <f t="shared" si="2"/>
        <v>0.2651810844837262</v>
      </c>
      <c r="K49" s="35">
        <f t="shared" si="3"/>
        <v>0.2651810844837262</v>
      </c>
      <c r="M49" s="38">
        <f>$M$51*K49</f>
        <v>4591.345296751235</v>
      </c>
    </row>
    <row r="50" spans="4:13" ht="12.75">
      <c r="D50" t="s">
        <v>44</v>
      </c>
      <c r="F50" s="18">
        <v>203.20437671</v>
      </c>
      <c r="G50" s="20">
        <f>F50/F$51</f>
        <v>0.01672967760985707</v>
      </c>
      <c r="H50" s="54">
        <f>M50</f>
        <v>289.6576381370653</v>
      </c>
      <c r="I50" s="36"/>
      <c r="J50" s="23">
        <f t="shared" si="2"/>
        <v>0.01672967760985707</v>
      </c>
      <c r="K50" s="35">
        <f t="shared" si="3"/>
        <v>0.01672967760985707</v>
      </c>
      <c r="M50" s="38">
        <f>$M$51*K50</f>
        <v>289.6576381370653</v>
      </c>
    </row>
    <row r="51" spans="6:14" ht="12.75">
      <c r="F51" s="19">
        <f>SUM(F46:F50)</f>
        <v>12146.341456709999</v>
      </c>
      <c r="G51" s="21">
        <f>SUM(G46:G50)</f>
        <v>1</v>
      </c>
      <c r="H51" s="54">
        <f>SUM(H46:H50)</f>
        <v>17314</v>
      </c>
      <c r="I51" s="56" t="s">
        <v>118</v>
      </c>
      <c r="J51" s="23">
        <f t="shared" si="2"/>
        <v>1</v>
      </c>
      <c r="K51" s="35">
        <f t="shared" si="3"/>
        <v>1</v>
      </c>
      <c r="L51">
        <v>12987</v>
      </c>
      <c r="M51" s="38">
        <v>17314</v>
      </c>
      <c r="N51" s="51" t="s">
        <v>119</v>
      </c>
    </row>
    <row r="52" spans="1:11" ht="12.75">
      <c r="A52">
        <f>A45+1</f>
        <v>777</v>
      </c>
      <c r="B52" t="s">
        <v>76</v>
      </c>
      <c r="H52" s="36"/>
      <c r="I52" s="36"/>
      <c r="K52" s="35"/>
    </row>
    <row r="53" spans="2:13" ht="12.75">
      <c r="B53" t="s">
        <v>42</v>
      </c>
      <c r="D53" t="s">
        <v>37</v>
      </c>
      <c r="F53" s="18">
        <v>13093.90050801</v>
      </c>
      <c r="G53" s="20">
        <f>F53/F$58</f>
        <v>0.7606685613118795</v>
      </c>
      <c r="H53" s="54">
        <f>M53</f>
        <v>18665.2851574709</v>
      </c>
      <c r="I53" s="36"/>
      <c r="J53" s="23">
        <f t="shared" si="2"/>
        <v>0.7606685613118795</v>
      </c>
      <c r="K53" s="35">
        <f t="shared" si="3"/>
        <v>0.7606685613118795</v>
      </c>
      <c r="M53" s="38">
        <f>$M$58*K53</f>
        <v>18665.2851574709</v>
      </c>
    </row>
    <row r="54" spans="4:13" ht="12.75">
      <c r="D54" t="s">
        <v>72</v>
      </c>
      <c r="F54" s="18">
        <v>0</v>
      </c>
      <c r="G54" s="20">
        <f>F54/F$58</f>
        <v>0</v>
      </c>
      <c r="H54" s="54">
        <f>M54</f>
        <v>0</v>
      </c>
      <c r="I54" s="36"/>
      <c r="J54" s="23">
        <f t="shared" si="2"/>
        <v>0</v>
      </c>
      <c r="K54" s="35">
        <f t="shared" si="3"/>
        <v>0</v>
      </c>
      <c r="M54" s="38">
        <f>$M$58*K54</f>
        <v>0</v>
      </c>
    </row>
    <row r="55" spans="4:13" ht="12.75">
      <c r="D55" t="s">
        <v>32</v>
      </c>
      <c r="F55" s="18">
        <v>247.16686</v>
      </c>
      <c r="G55" s="20">
        <f>F55/F$58</f>
        <v>0.014358751212838463</v>
      </c>
      <c r="H55" s="54">
        <f>M55</f>
        <v>352.3350372606302</v>
      </c>
      <c r="I55" s="36"/>
      <c r="J55" s="23">
        <f t="shared" si="2"/>
        <v>0.014358751212838463</v>
      </c>
      <c r="K55" s="35">
        <f t="shared" si="3"/>
        <v>0.014358751212838463</v>
      </c>
      <c r="M55" s="38">
        <f>$M$58*K55</f>
        <v>352.3350372606302</v>
      </c>
    </row>
    <row r="56" spans="4:13" ht="12.75">
      <c r="D56" t="s">
        <v>94</v>
      </c>
      <c r="F56" s="18">
        <v>3644.00156311</v>
      </c>
      <c r="G56" s="20">
        <f>F56/F$58</f>
        <v>0.21169226272442418</v>
      </c>
      <c r="H56" s="54">
        <f>M56</f>
        <v>5194.5047427319205</v>
      </c>
      <c r="I56" s="36"/>
      <c r="J56" s="23">
        <f t="shared" si="2"/>
        <v>0.21169226272442418</v>
      </c>
      <c r="K56" s="35">
        <f t="shared" si="3"/>
        <v>0.21169226272442418</v>
      </c>
      <c r="M56" s="38">
        <f>$M$58*K56</f>
        <v>5194.5047427319205</v>
      </c>
    </row>
    <row r="57" spans="4:13" ht="12.75">
      <c r="D57" t="s">
        <v>44</v>
      </c>
      <c r="F57" s="18">
        <v>228.6049</v>
      </c>
      <c r="G57" s="20">
        <f>F57/F$58</f>
        <v>0.013280424750857844</v>
      </c>
      <c r="H57" s="54">
        <f>M57</f>
        <v>325.87506253654976</v>
      </c>
      <c r="I57" s="36"/>
      <c r="J57" s="23">
        <f t="shared" si="2"/>
        <v>0.013280424750857844</v>
      </c>
      <c r="K57" s="35">
        <f t="shared" si="3"/>
        <v>0.013280424750857844</v>
      </c>
      <c r="M57" s="38">
        <f>$M$58*K57</f>
        <v>325.87506253654976</v>
      </c>
    </row>
    <row r="58" spans="6:14" ht="12.75">
      <c r="F58" s="18">
        <f>SUM(F53:F57)</f>
        <v>17213.67383112</v>
      </c>
      <c r="G58" s="21">
        <f>SUM(G53:G57)</f>
        <v>1</v>
      </c>
      <c r="H58" s="54">
        <f>SUM(H53:H57)</f>
        <v>24538</v>
      </c>
      <c r="I58" s="56" t="s">
        <v>118</v>
      </c>
      <c r="J58" s="23">
        <f t="shared" si="2"/>
        <v>1</v>
      </c>
      <c r="K58" s="35">
        <f t="shared" si="3"/>
        <v>1</v>
      </c>
      <c r="L58">
        <v>18403</v>
      </c>
      <c r="M58" s="38">
        <v>24538</v>
      </c>
      <c r="N58" s="51" t="s">
        <v>119</v>
      </c>
    </row>
    <row r="59" spans="6:11" ht="12.75">
      <c r="F59" s="19"/>
      <c r="G59" s="19"/>
      <c r="H59"/>
      <c r="K59" s="35"/>
    </row>
    <row r="60" spans="1:11" ht="12.75">
      <c r="A60" s="44">
        <f>A52+1</f>
        <v>778</v>
      </c>
      <c r="B60" s="44" t="str">
        <f>R22</f>
        <v>NWCSPA</v>
      </c>
      <c r="C60" s="44"/>
      <c r="D60" s="44"/>
      <c r="E60" s="44"/>
      <c r="F60" s="45"/>
      <c r="G60" s="45"/>
      <c r="H60" s="44"/>
      <c r="I60" s="44"/>
      <c r="J60" s="46"/>
      <c r="K60" s="47"/>
    </row>
    <row r="61" spans="1:11" ht="12.75">
      <c r="A61" s="44"/>
      <c r="B61" s="44" t="s">
        <v>42</v>
      </c>
      <c r="C61" s="44"/>
      <c r="D61" s="44" t="s">
        <v>37</v>
      </c>
      <c r="E61" s="44"/>
      <c r="F61" s="45">
        <v>13093.90050801</v>
      </c>
      <c r="G61" s="48">
        <f>F61/F$58</f>
        <v>0.7606685613118795</v>
      </c>
      <c r="H61" s="49">
        <f>G61*$S$21</f>
        <v>18665.2851574709</v>
      </c>
      <c r="I61" s="44"/>
      <c r="J61" s="46">
        <f t="shared" si="2"/>
        <v>0.7606685613118795</v>
      </c>
      <c r="K61" s="47">
        <f t="shared" si="3"/>
        <v>0.7606685613118795</v>
      </c>
    </row>
    <row r="62" spans="1:11" ht="12.75">
      <c r="A62" s="44"/>
      <c r="B62" s="44"/>
      <c r="C62" s="44"/>
      <c r="D62" s="44" t="s">
        <v>72</v>
      </c>
      <c r="E62" s="44"/>
      <c r="F62" s="45">
        <v>0</v>
      </c>
      <c r="G62" s="48">
        <f>F62/F$58</f>
        <v>0</v>
      </c>
      <c r="H62" s="49">
        <f>G62*$S$21</f>
        <v>0</v>
      </c>
      <c r="I62" s="44"/>
      <c r="J62" s="46">
        <f t="shared" si="2"/>
        <v>0</v>
      </c>
      <c r="K62" s="47">
        <f t="shared" si="3"/>
        <v>0</v>
      </c>
    </row>
    <row r="63" spans="1:11" ht="12.75">
      <c r="A63" s="44"/>
      <c r="B63" s="44"/>
      <c r="C63" s="44"/>
      <c r="D63" s="44" t="s">
        <v>32</v>
      </c>
      <c r="E63" s="44"/>
      <c r="F63" s="45">
        <v>247.16686</v>
      </c>
      <c r="G63" s="48">
        <f>F63/F$58</f>
        <v>0.014358751212838463</v>
      </c>
      <c r="H63" s="49">
        <f>G63*$S$21</f>
        <v>352.3350372606302</v>
      </c>
      <c r="I63" s="44"/>
      <c r="J63" s="46">
        <f t="shared" si="2"/>
        <v>0.014358751212838463</v>
      </c>
      <c r="K63" s="47">
        <f t="shared" si="3"/>
        <v>0.014358751212838463</v>
      </c>
    </row>
    <row r="64" spans="1:11" ht="12.75">
      <c r="A64" s="44"/>
      <c r="B64" s="44"/>
      <c r="C64" s="44"/>
      <c r="D64" s="44" t="s">
        <v>94</v>
      </c>
      <c r="E64" s="44"/>
      <c r="F64" s="45">
        <v>3644.00156311</v>
      </c>
      <c r="G64" s="48">
        <f>F64/F$58</f>
        <v>0.21169226272442418</v>
      </c>
      <c r="H64" s="49">
        <f>G64*$S$21</f>
        <v>5194.5047427319205</v>
      </c>
      <c r="I64" s="44"/>
      <c r="J64" s="46">
        <f t="shared" si="2"/>
        <v>0.21169226272442418</v>
      </c>
      <c r="K64" s="47">
        <f t="shared" si="3"/>
        <v>0.21169226272442418</v>
      </c>
    </row>
    <row r="65" spans="1:11" ht="12.75">
      <c r="A65" s="44"/>
      <c r="B65" s="44"/>
      <c r="C65" s="44"/>
      <c r="D65" s="44" t="s">
        <v>44</v>
      </c>
      <c r="E65" s="44"/>
      <c r="F65" s="45">
        <v>228.6049</v>
      </c>
      <c r="G65" s="48">
        <f>F65/F$58</f>
        <v>0.013280424750857844</v>
      </c>
      <c r="H65" s="49">
        <f>G65*$S$21</f>
        <v>325.87506253654976</v>
      </c>
      <c r="I65" s="44"/>
      <c r="J65" s="46">
        <f t="shared" si="2"/>
        <v>0.013280424750857844</v>
      </c>
      <c r="K65" s="47">
        <f t="shared" si="3"/>
        <v>0.013280424750857844</v>
      </c>
    </row>
    <row r="66" spans="1:11" ht="12.75">
      <c r="A66" s="44"/>
      <c r="B66" s="44"/>
      <c r="C66" s="44"/>
      <c r="D66" s="44"/>
      <c r="E66" s="44"/>
      <c r="F66" s="45">
        <f>SUM(F61:F65)</f>
        <v>17213.67383112</v>
      </c>
      <c r="G66" s="50">
        <f>SUM(G61:G65)</f>
        <v>1</v>
      </c>
      <c r="H66" s="49">
        <f>SUM(H61:H65)</f>
        <v>24538</v>
      </c>
      <c r="I66" s="44"/>
      <c r="J66" s="46">
        <f t="shared" si="2"/>
        <v>1</v>
      </c>
      <c r="K66" s="46">
        <f t="shared" si="3"/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24.140625" style="0" customWidth="1"/>
    <col min="3" max="3" width="23.00390625" style="0" bestFit="1" customWidth="1"/>
    <col min="9" max="9" width="10.140625" style="0" bestFit="1" customWidth="1"/>
  </cols>
  <sheetData>
    <row r="1" ht="12.75">
      <c r="A1" t="s">
        <v>47</v>
      </c>
    </row>
    <row r="2" ht="12.75">
      <c r="A2" t="s">
        <v>67</v>
      </c>
    </row>
    <row r="3" ht="12.75">
      <c r="A3" t="s">
        <v>97</v>
      </c>
    </row>
    <row r="4" spans="1:3" ht="12.75">
      <c r="A4" t="s">
        <v>13</v>
      </c>
      <c r="B4" t="s">
        <v>92</v>
      </c>
      <c r="C4" t="s">
        <v>81</v>
      </c>
    </row>
    <row r="5" ht="12.75">
      <c r="A5" t="s">
        <v>74</v>
      </c>
    </row>
    <row r="6" spans="1:2" ht="12.75">
      <c r="A6" t="s">
        <v>10</v>
      </c>
      <c r="B6" t="s">
        <v>63</v>
      </c>
    </row>
    <row r="7" ht="12.75">
      <c r="A7" t="s">
        <v>74</v>
      </c>
    </row>
    <row r="8" spans="1:9" ht="12.75">
      <c r="A8" t="s">
        <v>11</v>
      </c>
      <c r="B8" t="s">
        <v>40</v>
      </c>
      <c r="I8" s="34"/>
    </row>
    <row r="9" spans="1:9" ht="12.75">
      <c r="A9" t="s">
        <v>75</v>
      </c>
      <c r="I9" s="34"/>
    </row>
    <row r="10" spans="1:9" ht="12.75">
      <c r="A10" t="s">
        <v>12</v>
      </c>
      <c r="C10" s="52" t="s">
        <v>119</v>
      </c>
      <c r="I10" s="34"/>
    </row>
    <row r="11" spans="1:9" ht="12.75">
      <c r="A11">
        <v>770</v>
      </c>
      <c r="B11" t="s">
        <v>29</v>
      </c>
      <c r="C11" s="40">
        <v>22064</v>
      </c>
      <c r="D11" s="5">
        <f aca="true" t="shared" si="0" ref="D11:D18">C11*0.5</f>
        <v>11032</v>
      </c>
      <c r="E11" s="5">
        <f aca="true" t="shared" si="1" ref="E11:E19">C11*0.75</f>
        <v>16548</v>
      </c>
      <c r="F11" s="5">
        <f aca="true" t="shared" si="2" ref="F11:F18">C11*0.8</f>
        <v>17651.2</v>
      </c>
      <c r="I11" s="39"/>
    </row>
    <row r="12" spans="1:9" ht="12.75">
      <c r="A12">
        <v>771</v>
      </c>
      <c r="B12" t="s">
        <v>38</v>
      </c>
      <c r="C12" s="40">
        <v>23015</v>
      </c>
      <c r="D12" s="5">
        <f t="shared" si="0"/>
        <v>11507.5</v>
      </c>
      <c r="E12" s="5">
        <f t="shared" si="1"/>
        <v>17261.25</v>
      </c>
      <c r="F12" s="5">
        <f t="shared" si="2"/>
        <v>18412</v>
      </c>
      <c r="I12" s="39"/>
    </row>
    <row r="13" spans="1:9" ht="12.75">
      <c r="A13">
        <v>772</v>
      </c>
      <c r="B13" t="s">
        <v>58</v>
      </c>
      <c r="C13" s="40">
        <v>25075</v>
      </c>
      <c r="D13" s="5">
        <f t="shared" si="0"/>
        <v>12537.5</v>
      </c>
      <c r="E13" s="5">
        <f t="shared" si="1"/>
        <v>18806.25</v>
      </c>
      <c r="F13" s="5">
        <f t="shared" si="2"/>
        <v>20060</v>
      </c>
      <c r="I13" s="39"/>
    </row>
    <row r="14" spans="1:9" ht="12.75">
      <c r="A14">
        <v>773</v>
      </c>
      <c r="B14" t="s">
        <v>28</v>
      </c>
      <c r="C14" s="40">
        <v>18696</v>
      </c>
      <c r="D14" s="5">
        <f t="shared" si="0"/>
        <v>9348</v>
      </c>
      <c r="E14" s="5">
        <f t="shared" si="1"/>
        <v>14022</v>
      </c>
      <c r="F14" s="5">
        <f t="shared" si="2"/>
        <v>14956.800000000001</v>
      </c>
      <c r="I14" s="39"/>
    </row>
    <row r="15" spans="1:9" ht="12.75">
      <c r="A15">
        <v>774</v>
      </c>
      <c r="B15" t="s">
        <v>57</v>
      </c>
      <c r="C15" s="40">
        <v>22813</v>
      </c>
      <c r="D15" s="5">
        <f t="shared" si="0"/>
        <v>11406.5</v>
      </c>
      <c r="E15" s="5">
        <f t="shared" si="1"/>
        <v>17109.75</v>
      </c>
      <c r="F15" s="5">
        <f t="shared" si="2"/>
        <v>18250.4</v>
      </c>
      <c r="I15" s="39"/>
    </row>
    <row r="16" spans="1:9" ht="12.75">
      <c r="A16">
        <v>775</v>
      </c>
      <c r="B16" t="s">
        <v>79</v>
      </c>
      <c r="C16" s="40">
        <v>19897</v>
      </c>
      <c r="D16" s="5">
        <f t="shared" si="0"/>
        <v>9948.5</v>
      </c>
      <c r="E16" s="5">
        <f t="shared" si="1"/>
        <v>14922.75</v>
      </c>
      <c r="F16" s="5">
        <f t="shared" si="2"/>
        <v>15917.6</v>
      </c>
      <c r="I16" s="39"/>
    </row>
    <row r="17" spans="1:9" ht="12.75">
      <c r="A17">
        <v>776</v>
      </c>
      <c r="B17" t="s">
        <v>61</v>
      </c>
      <c r="C17" s="40">
        <v>17314</v>
      </c>
      <c r="D17" s="5">
        <f t="shared" si="0"/>
        <v>8657</v>
      </c>
      <c r="E17" s="5">
        <f t="shared" si="1"/>
        <v>12985.5</v>
      </c>
      <c r="F17" s="5">
        <f t="shared" si="2"/>
        <v>13851.2</v>
      </c>
      <c r="I17" s="39"/>
    </row>
    <row r="18" spans="1:9" ht="12.75">
      <c r="A18">
        <v>777</v>
      </c>
      <c r="B18" t="s">
        <v>70</v>
      </c>
      <c r="C18" s="40">
        <v>24538</v>
      </c>
      <c r="D18" s="5">
        <f t="shared" si="0"/>
        <v>12269</v>
      </c>
      <c r="E18" s="5">
        <f t="shared" si="1"/>
        <v>18403.5</v>
      </c>
      <c r="F18" s="5">
        <f t="shared" si="2"/>
        <v>19630.4</v>
      </c>
      <c r="I18" s="39"/>
    </row>
    <row r="19" spans="1:9" ht="12.75">
      <c r="A19">
        <v>778</v>
      </c>
      <c r="B19" t="s">
        <v>106</v>
      </c>
      <c r="C19" s="42">
        <v>17793</v>
      </c>
      <c r="D19" s="43">
        <f>C19*0.65+1</f>
        <v>11566.45</v>
      </c>
      <c r="E19" s="43">
        <f t="shared" si="1"/>
        <v>13344.75</v>
      </c>
      <c r="F19" s="43">
        <f>C19*0.8+1</f>
        <v>14235.400000000001</v>
      </c>
      <c r="I19" s="34"/>
    </row>
    <row r="20" spans="3:9" ht="12.75">
      <c r="C20" t="s">
        <v>101</v>
      </c>
      <c r="I20" s="34"/>
    </row>
    <row r="21" ht="12.75">
      <c r="C21" t="s">
        <v>102</v>
      </c>
    </row>
    <row r="22" ht="12.75">
      <c r="C22" t="s">
        <v>103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Kratochvil</dc:creator>
  <cp:keywords/>
  <dc:description/>
  <cp:lastModifiedBy>Sam Harrison</cp:lastModifiedBy>
  <cp:lastPrinted>2022-03-11T17:10:39Z</cp:lastPrinted>
  <dcterms:created xsi:type="dcterms:W3CDTF">2016-05-10T19:45:37Z</dcterms:created>
  <dcterms:modified xsi:type="dcterms:W3CDTF">2022-07-06T17:00:25Z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