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G\Files\DEVLMT ENGR\Fee Related\Fee Updates\CALCULATORS\2024-2025\SINGLE FAMILY IMPACT FEE CALCULATOR\"/>
    </mc:Choice>
  </mc:AlternateContent>
  <xr:revisionPtr revIDLastSave="0" documentId="13_ncr:1_{E15D4511-C8B6-4A30-BDC1-B96659B938CE}" xr6:coauthVersionLast="47" xr6:coauthVersionMax="47" xr10:uidLastSave="{00000000-0000-0000-0000-000000000000}"/>
  <bookViews>
    <workbookView xWindow="-120" yWindow="-120" windowWidth="29040" windowHeight="15720" xr2:uid="{C07C0342-6D6C-466F-BE97-1C185C70E5BA}"/>
  </bookViews>
  <sheets>
    <sheet name="NSFR FEE CAL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I28" i="1"/>
  <c r="H28" i="1"/>
  <c r="I26" i="1"/>
  <c r="H26" i="1"/>
  <c r="I24" i="1"/>
  <c r="H24" i="1"/>
  <c r="I22" i="1"/>
  <c r="H22" i="1"/>
  <c r="I20" i="1"/>
  <c r="H20" i="1"/>
  <c r="I17" i="1"/>
  <c r="H17" i="1"/>
  <c r="I16" i="1"/>
  <c r="H16" i="1"/>
  <c r="I15" i="1"/>
  <c r="H15" i="1"/>
  <c r="R28" i="1"/>
  <c r="Q28" i="1" s="1"/>
  <c r="R26" i="1"/>
  <c r="Q26" i="1" s="1"/>
  <c r="R24" i="1"/>
  <c r="Q24" i="1" s="1"/>
  <c r="R22" i="1"/>
  <c r="Q22" i="1" s="1"/>
  <c r="R20" i="1"/>
  <c r="N28" i="1"/>
  <c r="O28" i="1" s="1"/>
  <c r="M28" i="1"/>
  <c r="N26" i="1"/>
  <c r="O26" i="1" s="1"/>
  <c r="M26" i="1"/>
  <c r="N24" i="1"/>
  <c r="O24" i="1" s="1"/>
  <c r="M24" i="1"/>
  <c r="N22" i="1"/>
  <c r="O22" i="1" s="1"/>
  <c r="M22" i="1"/>
  <c r="M20" i="1"/>
  <c r="Q20" i="1"/>
  <c r="N20" i="1"/>
  <c r="O20" i="1" s="1"/>
  <c r="N37" i="1"/>
  <c r="Q37" i="1" s="1"/>
  <c r="N35" i="1"/>
  <c r="Q35" i="1" s="1"/>
  <c r="N33" i="1"/>
  <c r="O33" i="1" s="1"/>
  <c r="M17" i="1"/>
  <c r="M16" i="1"/>
  <c r="M15" i="1"/>
  <c r="G30" i="1" l="1"/>
  <c r="G28" i="1"/>
  <c r="F28" i="1" s="1"/>
  <c r="G26" i="1"/>
  <c r="G24" i="1"/>
  <c r="G22" i="1"/>
  <c r="G20" i="1"/>
  <c r="G17" i="1"/>
  <c r="G16" i="1"/>
  <c r="G15" i="1"/>
  <c r="O37" i="1"/>
  <c r="O35" i="1"/>
  <c r="Q33" i="1"/>
  <c r="N16" i="1"/>
  <c r="Q16" i="1" s="1"/>
  <c r="N17" i="1"/>
  <c r="Q17" i="1" s="1"/>
  <c r="N15" i="1"/>
  <c r="O15" i="1" s="1"/>
  <c r="O17" i="1" l="1"/>
  <c r="O16" i="1"/>
  <c r="Q15" i="1"/>
  <c r="J30" i="1"/>
  <c r="J28" i="1"/>
  <c r="J26" i="1"/>
  <c r="J24" i="1"/>
  <c r="J22" i="1"/>
  <c r="J20" i="1"/>
  <c r="F20" i="1" s="1"/>
  <c r="J18" i="1"/>
  <c r="I18" i="1"/>
  <c r="H18" i="1"/>
  <c r="J17" i="1"/>
  <c r="J16" i="1"/>
  <c r="J15" i="1"/>
  <c r="F15" i="1" s="1"/>
  <c r="F16" i="1" l="1"/>
  <c r="F17" i="1"/>
  <c r="F24" i="1"/>
  <c r="F30" i="1"/>
  <c r="F26" i="1"/>
  <c r="F22" i="1"/>
  <c r="J31" i="1"/>
  <c r="G18" i="1"/>
  <c r="F18" i="1" s="1"/>
  <c r="H31" i="1"/>
  <c r="I31" i="1"/>
  <c r="G31" i="1" l="1"/>
  <c r="F31" i="1"/>
</calcChain>
</file>

<file path=xl/sharedStrings.xml><?xml version="1.0" encoding="utf-8"?>
<sst xmlns="http://schemas.openxmlformats.org/spreadsheetml/2006/main" count="49" uniqueCount="43">
  <si>
    <t>FEE SCHEDULE AS OF:</t>
  </si>
  <si>
    <t xml:space="preserve"> FOR USE IN RESIDENTIAL</t>
  </si>
  <si>
    <t>Project Name:</t>
  </si>
  <si>
    <t>Plan No.:</t>
  </si>
  <si>
    <t>Address (BF):</t>
  </si>
  <si>
    <t>Date:</t>
  </si>
  <si>
    <t>Number of Bedrooms:</t>
  </si>
  <si>
    <t>each</t>
  </si>
  <si>
    <t>Number of Bathrooms</t>
  </si>
  <si>
    <t>IMPACT FEE</t>
  </si>
  <si>
    <t>BASELINE</t>
  </si>
  <si>
    <t>30% REDUCTION</t>
  </si>
  <si>
    <t>30% INCREASE</t>
  </si>
  <si>
    <t>CREDIT</t>
  </si>
  <si>
    <t>Areas:</t>
  </si>
  <si>
    <t>(ENTER INTO PERMIT PLUS)</t>
  </si>
  <si>
    <t>TOTAL FEES</t>
  </si>
  <si>
    <t>PARK</t>
  </si>
  <si>
    <t>Neighborhood 32%</t>
  </si>
  <si>
    <t>Community 59%</t>
  </si>
  <si>
    <t>Lin. Park 9%</t>
  </si>
  <si>
    <t>Bidwell Park Fee</t>
  </si>
  <si>
    <t>STREET FACILITY IMPROVEMENT</t>
  </si>
  <si>
    <t>STREET MAINTENANCE EQUIPMENT</t>
  </si>
  <si>
    <t>BIKEWAY IMPROVEMENTS</t>
  </si>
  <si>
    <t>ADMINISTRATION BUILDING</t>
  </si>
  <si>
    <t>FIRE</t>
  </si>
  <si>
    <t>POLICE</t>
  </si>
  <si>
    <t>TOTAL IMPACT FEES:</t>
  </si>
  <si>
    <t xml:space="preserve">How To Use: </t>
  </si>
  <si>
    <t>Step 1.</t>
  </si>
  <si>
    <t xml:space="preserve">Input the total number of bedroom and bathroom counts into the corresponding cells (blue) under the "Component Areas" category. </t>
  </si>
  <si>
    <t>Component Areas:</t>
  </si>
  <si>
    <t xml:space="preserve">The total Single-Family Residential Impact Fee's that will be </t>
  </si>
  <si>
    <t xml:space="preserve">charged can be found in the "Total Impact Fees" (green) cell. </t>
  </si>
  <si>
    <t>Total</t>
  </si>
  <si>
    <t xml:space="preserve">Baseline </t>
  </si>
  <si>
    <t xml:space="preserve">30 Reduction </t>
  </si>
  <si>
    <t xml:space="preserve">30 Increase </t>
  </si>
  <si>
    <r>
      <t xml:space="preserve">SINGLE-FAMILY RESIDENTIAL IMPACT FEE </t>
    </r>
    <r>
      <rPr>
        <b/>
        <i/>
        <sz val="12"/>
        <rFont val="Calibri"/>
        <family val="2"/>
        <scheme val="minor"/>
      </rPr>
      <t>ESTIMATE</t>
    </r>
    <r>
      <rPr>
        <b/>
        <sz val="12"/>
        <rFont val="Calibri"/>
        <family val="2"/>
        <scheme val="minor"/>
      </rPr>
      <t xml:space="preserve"> WORKSHEET</t>
    </r>
  </si>
  <si>
    <r>
      <t xml:space="preserve">NOTES AND REMARKS: </t>
    </r>
    <r>
      <rPr>
        <b/>
        <i/>
        <sz val="12"/>
        <color rgb="FFFF0000"/>
        <rFont val="Calibri"/>
        <family val="2"/>
        <scheme val="minor"/>
      </rPr>
      <t xml:space="preserve">This fee calculator is used as a processing tool for applicants to estimate the total impact fees that will be charged for their project. Fees are subject to change. </t>
    </r>
  </si>
  <si>
    <t>Updated: 07/2024</t>
  </si>
  <si>
    <t>FY2024-25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</si>
</sst>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" xfId="2" applyNumberFormat="1" applyFont="1" applyFill="1" applyBorder="1" applyAlignment="1">
      <alignment horizontal="center" vertical="center"/>
    </xf>
    <xf numFmtId="0" fontId="5" fillId="4" borderId="2" xfId="2" applyNumberFormat="1" applyFont="1" applyFill="1" applyBorder="1" applyAlignment="1">
      <alignment horizontal="center" vertical="center"/>
    </xf>
    <xf numFmtId="0" fontId="5" fillId="4" borderId="3" xfId="2" applyNumberFormat="1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4" borderId="4" xfId="0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14" fontId="7" fillId="4" borderId="0" xfId="2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/>
    </xf>
    <xf numFmtId="0" fontId="4" fillId="4" borderId="0" xfId="0" applyFont="1" applyFill="1" applyProtection="1">
      <protection locked="0"/>
    </xf>
    <xf numFmtId="0" fontId="4" fillId="4" borderId="0" xfId="0" applyFont="1" applyFill="1" applyAlignment="1">
      <alignment horizontal="right"/>
    </xf>
    <xf numFmtId="0" fontId="4" fillId="4" borderId="5" xfId="0" applyFont="1" applyFill="1" applyBorder="1" applyProtection="1">
      <protection locked="0"/>
    </xf>
    <xf numFmtId="0" fontId="4" fillId="4" borderId="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3" fontId="4" fillId="4" borderId="0" xfId="2" applyFont="1" applyFill="1" applyBorder="1"/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0" xfId="2" applyNumberFormat="1" applyFont="1" applyFill="1" applyBorder="1" applyAlignment="1">
      <alignment horizontal="center"/>
    </xf>
    <xf numFmtId="3" fontId="4" fillId="4" borderId="0" xfId="2" applyFont="1" applyFill="1" applyBorder="1" applyAlignment="1">
      <alignment horizontal="center"/>
    </xf>
    <xf numFmtId="0" fontId="5" fillId="4" borderId="0" xfId="2" applyNumberFormat="1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0" xfId="2" applyNumberFormat="1" applyFont="1" applyFill="1" applyBorder="1"/>
    <xf numFmtId="0" fontId="5" fillId="4" borderId="11" xfId="2" applyNumberFormat="1" applyFont="1" applyFill="1" applyBorder="1"/>
    <xf numFmtId="0" fontId="5" fillId="4" borderId="11" xfId="2" applyNumberFormat="1" applyFont="1" applyFill="1" applyBorder="1" applyAlignment="1">
      <alignment horizontal="center"/>
    </xf>
    <xf numFmtId="0" fontId="9" fillId="4" borderId="12" xfId="2" applyNumberFormat="1" applyFont="1" applyFill="1" applyBorder="1" applyAlignment="1">
      <alignment horizontal="center"/>
    </xf>
    <xf numFmtId="0" fontId="4" fillId="4" borderId="13" xfId="0" applyFont="1" applyFill="1" applyBorder="1"/>
    <xf numFmtId="0" fontId="4" fillId="4" borderId="14" xfId="0" applyFont="1" applyFill="1" applyBorder="1"/>
    <xf numFmtId="0" fontId="5" fillId="4" borderId="14" xfId="2" applyNumberFormat="1" applyFont="1" applyFill="1" applyBorder="1" applyAlignment="1">
      <alignment horizontal="right"/>
    </xf>
    <xf numFmtId="3" fontId="4" fillId="4" borderId="14" xfId="0" applyNumberFormat="1" applyFont="1" applyFill="1" applyBorder="1"/>
    <xf numFmtId="0" fontId="10" fillId="4" borderId="15" xfId="0" applyFont="1" applyFill="1" applyBorder="1"/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4" borderId="14" xfId="2" applyNumberFormat="1" applyFont="1" applyFill="1" applyBorder="1" applyAlignment="1">
      <alignment horizontal="center"/>
    </xf>
    <xf numFmtId="0" fontId="5" fillId="4" borderId="13" xfId="0" applyFont="1" applyFill="1" applyBorder="1"/>
    <xf numFmtId="0" fontId="5" fillId="4" borderId="14" xfId="0" applyFont="1" applyFill="1" applyBorder="1"/>
    <xf numFmtId="7" fontId="4" fillId="4" borderId="14" xfId="2" applyNumberFormat="1" applyFont="1" applyFill="1" applyBorder="1"/>
    <xf numFmtId="4" fontId="10" fillId="4" borderId="15" xfId="2" applyNumberFormat="1" applyFont="1" applyFill="1" applyBorder="1"/>
    <xf numFmtId="0" fontId="7" fillId="5" borderId="0" xfId="0" applyFont="1" applyFill="1"/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11" fillId="6" borderId="0" xfId="0" applyFont="1" applyFill="1"/>
    <xf numFmtId="0" fontId="7" fillId="6" borderId="0" xfId="0" applyFont="1" applyFill="1"/>
    <xf numFmtId="0" fontId="5" fillId="4" borderId="18" xfId="2" applyNumberFormat="1" applyFont="1" applyFill="1" applyBorder="1" applyAlignment="1">
      <alignment horizontal="left"/>
    </xf>
    <xf numFmtId="0" fontId="5" fillId="4" borderId="19" xfId="2" applyNumberFormat="1" applyFont="1" applyFill="1" applyBorder="1" applyAlignment="1">
      <alignment horizontal="left"/>
    </xf>
    <xf numFmtId="7" fontId="5" fillId="3" borderId="20" xfId="2" applyNumberFormat="1" applyFont="1" applyFill="1" applyBorder="1"/>
    <xf numFmtId="7" fontId="5" fillId="4" borderId="20" xfId="2" applyNumberFormat="1" applyFont="1" applyFill="1" applyBorder="1"/>
    <xf numFmtId="4" fontId="9" fillId="4" borderId="21" xfId="2" applyNumberFormat="1" applyFont="1" applyFill="1" applyBorder="1"/>
    <xf numFmtId="49" fontId="4" fillId="0" borderId="0" xfId="0" applyNumberFormat="1" applyFont="1" applyAlignment="1">
      <alignment vertical="top"/>
    </xf>
    <xf numFmtId="49" fontId="5" fillId="4" borderId="1" xfId="2" applyNumberFormat="1" applyFont="1" applyFill="1" applyBorder="1" applyAlignment="1">
      <alignment horizontal="left" vertical="top" wrapText="1"/>
    </xf>
    <xf numFmtId="49" fontId="5" fillId="4" borderId="2" xfId="2" applyNumberFormat="1" applyFont="1" applyFill="1" applyBorder="1" applyAlignment="1">
      <alignment horizontal="left" vertical="top" wrapText="1"/>
    </xf>
    <xf numFmtId="49" fontId="5" fillId="4" borderId="3" xfId="2" applyNumberFormat="1" applyFont="1" applyFill="1" applyBorder="1" applyAlignment="1">
      <alignment horizontal="left" vertical="top" wrapText="1"/>
    </xf>
    <xf numFmtId="0" fontId="4" fillId="0" borderId="22" xfId="0" applyFont="1" applyBorder="1" applyAlignment="1">
      <alignment horizontal="right"/>
    </xf>
    <xf numFmtId="0" fontId="7" fillId="7" borderId="6" xfId="0" applyFont="1" applyFill="1" applyBorder="1" applyAlignment="1" applyProtection="1">
      <alignment horizontal="center"/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3" fontId="7" fillId="7" borderId="6" xfId="1" applyNumberFormat="1" applyFont="1" applyFill="1" applyBorder="1" applyProtection="1">
      <protection locked="0"/>
    </xf>
    <xf numFmtId="0" fontId="7" fillId="7" borderId="6" xfId="2" applyNumberFormat="1" applyFont="1" applyFill="1" applyBorder="1" applyProtection="1">
      <protection locked="0"/>
    </xf>
    <xf numFmtId="14" fontId="4" fillId="7" borderId="6" xfId="2" applyNumberFormat="1" applyFont="1" applyFill="1" applyBorder="1" applyAlignment="1" applyProtection="1">
      <alignment horizontal="left"/>
      <protection locked="0"/>
    </xf>
  </cellXfs>
  <cellStyles count="3">
    <cellStyle name="Comma0" xfId="2" xr:uid="{291F00FC-5DB8-4392-86F0-F66F094CFA79}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niel.kratochvil\Desktop\Development%20Engineering\5_IMPACT%20FEES\Residential%20Single%20Family%20Development%20Fees\2021\RES%20ImpactFee%2007-05-2021%20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act Fee's"/>
      <sheetName val="Credi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0437-1E82-4633-8762-AD719FEBAFA0}">
  <dimension ref="A1:T37"/>
  <sheetViews>
    <sheetView showGridLines="0" tabSelected="1" zoomScale="85" zoomScaleNormal="85" workbookViewId="0">
      <selection activeCell="E3" sqref="E3:F3"/>
    </sheetView>
  </sheetViews>
  <sheetFormatPr defaultRowHeight="15.75" x14ac:dyDescent="0.25"/>
  <cols>
    <col min="1" max="1" width="5" style="2" customWidth="1"/>
    <col min="2" max="2" width="9.140625" style="2" customWidth="1"/>
    <col min="3" max="3" width="56.7109375" style="2" customWidth="1"/>
    <col min="4" max="4" width="15.7109375" style="2" customWidth="1"/>
    <col min="5" max="5" width="24.140625" style="2" customWidth="1"/>
    <col min="6" max="6" width="24.85546875" style="2" customWidth="1"/>
    <col min="7" max="7" width="25.28515625" style="2" customWidth="1"/>
    <col min="8" max="8" width="23" style="2" customWidth="1"/>
    <col min="9" max="9" width="34.85546875" style="2" customWidth="1"/>
    <col min="10" max="10" width="12.5703125" style="2" customWidth="1"/>
    <col min="11" max="11" width="0" style="6" hidden="1" customWidth="1"/>
    <col min="12" max="18" width="9.140625" style="6" hidden="1" customWidth="1"/>
    <col min="19" max="20" width="9.140625" style="6"/>
    <col min="21" max="16384" width="9.140625" style="2"/>
  </cols>
  <sheetData>
    <row r="1" spans="1:17" ht="30" customHeight="1" x14ac:dyDescent="0.25">
      <c r="A1" s="1" t="s">
        <v>29</v>
      </c>
      <c r="D1" s="3" t="s">
        <v>39</v>
      </c>
      <c r="E1" s="4"/>
      <c r="F1" s="4"/>
      <c r="G1" s="4"/>
      <c r="H1" s="4"/>
      <c r="I1" s="4"/>
      <c r="J1" s="5"/>
    </row>
    <row r="2" spans="1:17" ht="47.25" x14ac:dyDescent="0.25">
      <c r="B2" s="7" t="s">
        <v>30</v>
      </c>
      <c r="C2" s="8" t="s">
        <v>31</v>
      </c>
      <c r="D2" s="9" t="s">
        <v>0</v>
      </c>
      <c r="E2" s="10"/>
      <c r="F2" s="11" t="s">
        <v>42</v>
      </c>
      <c r="G2" s="12" t="s">
        <v>1</v>
      </c>
      <c r="H2" s="12"/>
      <c r="I2" s="12"/>
      <c r="J2" s="13"/>
    </row>
    <row r="3" spans="1:17" x14ac:dyDescent="0.25">
      <c r="D3" s="14" t="s">
        <v>2</v>
      </c>
      <c r="E3" s="63"/>
      <c r="F3" s="63"/>
      <c r="G3" s="15"/>
      <c r="H3" s="16" t="s">
        <v>3</v>
      </c>
      <c r="I3" s="66"/>
      <c r="J3" s="17"/>
    </row>
    <row r="4" spans="1:17" x14ac:dyDescent="0.25">
      <c r="B4" s="2" t="s">
        <v>33</v>
      </c>
      <c r="D4" s="14" t="s">
        <v>4</v>
      </c>
      <c r="E4" s="63"/>
      <c r="F4" s="64"/>
      <c r="G4" s="15"/>
      <c r="H4" s="16" t="s">
        <v>5</v>
      </c>
      <c r="I4" s="67"/>
      <c r="J4" s="17"/>
    </row>
    <row r="5" spans="1:17" x14ac:dyDescent="0.25">
      <c r="B5" s="2" t="s">
        <v>34</v>
      </c>
      <c r="D5" s="18"/>
      <c r="E5" s="19"/>
      <c r="F5" s="19"/>
      <c r="G5" s="19"/>
      <c r="H5" s="19"/>
      <c r="I5" s="19"/>
      <c r="J5" s="20"/>
    </row>
    <row r="6" spans="1:17" x14ac:dyDescent="0.25">
      <c r="D6" s="18"/>
      <c r="E6" s="19" t="s">
        <v>32</v>
      </c>
      <c r="F6" s="21"/>
      <c r="G6" s="19"/>
      <c r="H6" s="19"/>
      <c r="I6" s="19"/>
      <c r="J6" s="20"/>
    </row>
    <row r="7" spans="1:17" x14ac:dyDescent="0.25">
      <c r="D7" s="18"/>
      <c r="E7" s="22" t="s">
        <v>6</v>
      </c>
      <c r="F7" s="65">
        <v>0</v>
      </c>
      <c r="G7" s="18" t="s">
        <v>7</v>
      </c>
      <c r="H7" s="19"/>
      <c r="I7" s="19"/>
      <c r="J7" s="20"/>
    </row>
    <row r="8" spans="1:17" x14ac:dyDescent="0.25">
      <c r="D8" s="18"/>
      <c r="E8" s="23" t="s">
        <v>8</v>
      </c>
      <c r="F8" s="65">
        <v>0</v>
      </c>
      <c r="G8" s="18" t="s">
        <v>7</v>
      </c>
      <c r="H8" s="19"/>
      <c r="I8" s="19"/>
      <c r="J8" s="20"/>
    </row>
    <row r="9" spans="1:17" x14ac:dyDescent="0.25">
      <c r="D9" s="18"/>
      <c r="E9" s="19"/>
      <c r="F9" s="21"/>
      <c r="G9" s="19"/>
      <c r="H9" s="19"/>
      <c r="I9" s="19"/>
      <c r="J9" s="20"/>
    </row>
    <row r="10" spans="1:17" x14ac:dyDescent="0.25">
      <c r="D10" s="18"/>
      <c r="E10" s="19"/>
      <c r="F10" s="21"/>
      <c r="G10" s="24"/>
      <c r="H10" s="25"/>
      <c r="I10" s="26"/>
      <c r="J10" s="20"/>
    </row>
    <row r="11" spans="1:17" x14ac:dyDescent="0.25">
      <c r="D11" s="27"/>
      <c r="E11" s="28"/>
      <c r="F11" s="28"/>
      <c r="G11" s="28"/>
      <c r="H11" s="28"/>
      <c r="I11" s="28"/>
      <c r="J11" s="29"/>
    </row>
    <row r="12" spans="1:17" x14ac:dyDescent="0.25">
      <c r="B12" s="1"/>
      <c r="D12" s="30" t="s">
        <v>9</v>
      </c>
      <c r="E12" s="31"/>
      <c r="F12" s="31"/>
      <c r="G12" s="32" t="s">
        <v>10</v>
      </c>
      <c r="H12" s="32" t="s">
        <v>11</v>
      </c>
      <c r="I12" s="32" t="s">
        <v>12</v>
      </c>
      <c r="J12" s="33" t="s">
        <v>13</v>
      </c>
    </row>
    <row r="13" spans="1:17" x14ac:dyDescent="0.25">
      <c r="D13" s="34"/>
      <c r="E13" s="35"/>
      <c r="F13" s="36" t="s">
        <v>14</v>
      </c>
      <c r="G13" s="37"/>
      <c r="H13" s="35"/>
      <c r="I13" s="35"/>
      <c r="J13" s="38"/>
      <c r="M13" s="6" t="s">
        <v>36</v>
      </c>
      <c r="O13" s="6" t="s">
        <v>37</v>
      </c>
      <c r="Q13" s="6" t="s">
        <v>38</v>
      </c>
    </row>
    <row r="14" spans="1:17" x14ac:dyDescent="0.25">
      <c r="D14" s="39" t="s">
        <v>15</v>
      </c>
      <c r="E14" s="40"/>
      <c r="F14" s="41" t="s">
        <v>16</v>
      </c>
      <c r="G14" s="35"/>
      <c r="H14" s="35"/>
      <c r="I14" s="35"/>
      <c r="J14" s="38"/>
      <c r="L14" s="6" t="s">
        <v>35</v>
      </c>
      <c r="M14" s="6">
        <v>5439</v>
      </c>
    </row>
    <row r="15" spans="1:17" x14ac:dyDescent="0.25">
      <c r="D15" s="42" t="s">
        <v>17</v>
      </c>
      <c r="E15" s="43" t="s">
        <v>18</v>
      </c>
      <c r="F15" s="44">
        <f>SUM(G15:J15)</f>
        <v>1226.18</v>
      </c>
      <c r="G15" s="44">
        <f>IF(AND(I15&lt;1,H15=0),(1751.68),(0))</f>
        <v>0</v>
      </c>
      <c r="H15" s="44">
        <f>IF(AND(F7&lt;=2,F8&lt;=2),(1226.18),(0))</f>
        <v>1226.18</v>
      </c>
      <c r="I15" s="44">
        <f>IF(AND(F7&gt;=4,F8&gt;=3),(2277.18),(0))</f>
        <v>0</v>
      </c>
      <c r="J15" s="45">
        <f>[1]Credits!N18*-1</f>
        <v>0</v>
      </c>
      <c r="L15" s="6">
        <v>0.32</v>
      </c>
      <c r="M15" s="46">
        <f>M14*L15</f>
        <v>1740.48</v>
      </c>
      <c r="N15" s="6">
        <f>M15*0.3</f>
        <v>522.14400000000001</v>
      </c>
      <c r="O15" s="46">
        <f>M15-N15</f>
        <v>1218.336</v>
      </c>
      <c r="Q15" s="46">
        <f>M15+N15</f>
        <v>2262.6239999999998</v>
      </c>
    </row>
    <row r="16" spans="1:17" x14ac:dyDescent="0.25">
      <c r="D16" s="34"/>
      <c r="E16" s="43" t="s">
        <v>19</v>
      </c>
      <c r="F16" s="44">
        <f t="shared" ref="F16:F30" si="0">SUM(G16:J16)</f>
        <v>2260.7600000000002</v>
      </c>
      <c r="G16" s="44">
        <f>IF(AND(I16&lt;1,H16=0),(3229.66),(0))</f>
        <v>0</v>
      </c>
      <c r="H16" s="44">
        <f>IF(AND(F7&lt;=2,F8&lt;=2),(2260.76),(0))</f>
        <v>2260.7600000000002</v>
      </c>
      <c r="I16" s="44">
        <f>IF(AND(F7&gt;=4,F8&gt;=3),(4198.56),(0))</f>
        <v>0</v>
      </c>
      <c r="J16" s="45">
        <f>[1]Credits!N19*-1</f>
        <v>0</v>
      </c>
      <c r="L16" s="6">
        <v>0.59</v>
      </c>
      <c r="M16" s="46">
        <f>M14*L16</f>
        <v>3209.0099999999998</v>
      </c>
      <c r="N16" s="6">
        <f>M16*0.3</f>
        <v>962.70299999999986</v>
      </c>
      <c r="O16" s="46">
        <f t="shared" ref="O16:O17" si="1">M16-N16</f>
        <v>2246.3069999999998</v>
      </c>
      <c r="Q16" s="46">
        <f t="shared" ref="Q16:Q17" si="2">M16+N16</f>
        <v>4171.7129999999997</v>
      </c>
    </row>
    <row r="17" spans="4:18" x14ac:dyDescent="0.25">
      <c r="D17" s="34"/>
      <c r="E17" s="43" t="s">
        <v>20</v>
      </c>
      <c r="F17" s="44">
        <f t="shared" si="0"/>
        <v>344.86</v>
      </c>
      <c r="G17" s="44">
        <f>IF(AND(I17&lt;1,H17=0),(492.66),(0))</f>
        <v>0</v>
      </c>
      <c r="H17" s="44">
        <f>IF(AND(F7&lt;=2,F8&lt;=2),(344.86),(0))</f>
        <v>344.86</v>
      </c>
      <c r="I17" s="44">
        <f>IF(AND(F7&gt;=4,F8&gt;=3),(640.46),(0))</f>
        <v>0</v>
      </c>
      <c r="J17" s="45">
        <f>[1]Credits!N20*-1</f>
        <v>0</v>
      </c>
      <c r="L17" s="6">
        <v>0.09</v>
      </c>
      <c r="M17" s="46">
        <f>M14*L17</f>
        <v>489.51</v>
      </c>
      <c r="N17" s="6">
        <f>M17*0.3</f>
        <v>146.85299999999998</v>
      </c>
      <c r="O17" s="46">
        <f t="shared" si="1"/>
        <v>342.65700000000004</v>
      </c>
      <c r="Q17" s="46">
        <f t="shared" si="2"/>
        <v>636.36299999999994</v>
      </c>
    </row>
    <row r="18" spans="4:18" x14ac:dyDescent="0.25">
      <c r="D18" s="34"/>
      <c r="E18" s="43" t="s">
        <v>21</v>
      </c>
      <c r="F18" s="44">
        <f t="shared" si="0"/>
        <v>53.9</v>
      </c>
      <c r="G18" s="44">
        <f>IF(AND(I18&lt;1,H18=0),(77),(0))</f>
        <v>0</v>
      </c>
      <c r="H18" s="44">
        <f>IF(AND(F7&lt;=2,F8&lt;=2),(53.9),(0))</f>
        <v>53.9</v>
      </c>
      <c r="I18" s="44">
        <f>IF(AND(F7&gt;=4,F8&gt;=3),(100.1),(0))</f>
        <v>0</v>
      </c>
      <c r="J18" s="45">
        <f>[1]Credits!N21*-1</f>
        <v>0</v>
      </c>
    </row>
    <row r="19" spans="4:18" x14ac:dyDescent="0.25">
      <c r="D19" s="47"/>
      <c r="E19" s="48"/>
      <c r="F19" s="44"/>
      <c r="G19" s="44"/>
      <c r="H19" s="44"/>
      <c r="I19" s="44"/>
      <c r="J19" s="45"/>
      <c r="L19" s="6" t="s">
        <v>35</v>
      </c>
      <c r="M19" s="6">
        <v>10301</v>
      </c>
    </row>
    <row r="20" spans="4:18" x14ac:dyDescent="0.25">
      <c r="D20" s="49" t="s">
        <v>22</v>
      </c>
      <c r="E20" s="50"/>
      <c r="F20" s="44">
        <f>SUM(G20:J20)</f>
        <v>8041.6</v>
      </c>
      <c r="G20" s="44">
        <f>IF(AND(I20&lt;1,H20=0),(11488),(0))</f>
        <v>0</v>
      </c>
      <c r="H20" s="44">
        <f>IF(AND(F7&lt;=2,F8&lt;=2),(8041.6),(0))</f>
        <v>8041.6</v>
      </c>
      <c r="I20" s="44">
        <f>IF(AND(F7&gt;=4,F8&gt;=3),(14934.4),(0))</f>
        <v>0</v>
      </c>
      <c r="J20" s="45">
        <f>[1]Credits!N23*-1</f>
        <v>0</v>
      </c>
      <c r="L20" s="6">
        <v>0.3</v>
      </c>
      <c r="M20" s="46">
        <f>M19</f>
        <v>10301</v>
      </c>
      <c r="N20" s="51">
        <f>M19*L20</f>
        <v>3090.2999999999997</v>
      </c>
      <c r="O20" s="46">
        <f>M19-N20</f>
        <v>7210.7000000000007</v>
      </c>
      <c r="P20" s="52"/>
      <c r="Q20" s="46">
        <f>M19+R20</f>
        <v>13391.3</v>
      </c>
      <c r="R20" s="51">
        <f>M19*L20</f>
        <v>3090.2999999999997</v>
      </c>
    </row>
    <row r="21" spans="4:18" x14ac:dyDescent="0.25">
      <c r="D21" s="47"/>
      <c r="E21" s="48"/>
      <c r="F21" s="44"/>
      <c r="G21" s="44"/>
      <c r="H21" s="44"/>
      <c r="I21" s="44"/>
      <c r="J21" s="45"/>
      <c r="L21" s="6" t="s">
        <v>35</v>
      </c>
      <c r="M21" s="6">
        <v>265</v>
      </c>
      <c r="N21" s="52"/>
      <c r="P21" s="52"/>
      <c r="R21" s="51"/>
    </row>
    <row r="22" spans="4:18" x14ac:dyDescent="0.25">
      <c r="D22" s="49" t="s">
        <v>23</v>
      </c>
      <c r="E22" s="50"/>
      <c r="F22" s="44">
        <f t="shared" si="0"/>
        <v>206.85</v>
      </c>
      <c r="G22" s="44">
        <f>IF(AND(I22&lt;1,H22=0),(295.5),(0))</f>
        <v>0</v>
      </c>
      <c r="H22" s="44">
        <f>IF(AND(F7&lt;=2,F8&lt;=2),(206.85),(0))</f>
        <v>206.85</v>
      </c>
      <c r="I22" s="44">
        <f>IF(AND(F7&gt;=4,F8&gt;=3),(384.15),(0))</f>
        <v>0</v>
      </c>
      <c r="J22" s="45">
        <f>[1]Credits!N25*-1</f>
        <v>0</v>
      </c>
      <c r="L22" s="6">
        <v>0.3</v>
      </c>
      <c r="M22" s="46">
        <f>M21</f>
        <v>265</v>
      </c>
      <c r="N22" s="51">
        <f>M21*L22</f>
        <v>79.5</v>
      </c>
      <c r="O22" s="46">
        <f>M21-N22</f>
        <v>185.5</v>
      </c>
      <c r="P22" s="52"/>
      <c r="Q22" s="46">
        <f>M21+R22</f>
        <v>344.5</v>
      </c>
      <c r="R22" s="51">
        <f>M21*L22</f>
        <v>79.5</v>
      </c>
    </row>
    <row r="23" spans="4:18" x14ac:dyDescent="0.25">
      <c r="D23" s="47"/>
      <c r="E23" s="48"/>
      <c r="F23" s="44"/>
      <c r="G23" s="44"/>
      <c r="H23" s="44"/>
      <c r="I23" s="44"/>
      <c r="J23" s="45"/>
      <c r="L23" s="6" t="s">
        <v>35</v>
      </c>
      <c r="M23" s="6">
        <v>712</v>
      </c>
      <c r="N23" s="52"/>
      <c r="P23" s="52"/>
      <c r="R23" s="51"/>
    </row>
    <row r="24" spans="4:18" x14ac:dyDescent="0.25">
      <c r="D24" s="49" t="s">
        <v>24</v>
      </c>
      <c r="E24" s="50"/>
      <c r="F24" s="44">
        <f t="shared" si="0"/>
        <v>555.79999999999995</v>
      </c>
      <c r="G24" s="44">
        <f>IF(AND(I24&lt;1,H24=0),(794),(0))</f>
        <v>0</v>
      </c>
      <c r="H24" s="44">
        <f>IF(AND(F7&lt;=2,F8&lt;=2),(555.8),(0))</f>
        <v>555.79999999999995</v>
      </c>
      <c r="I24" s="44">
        <f>IF(AND(F7&gt;=4,F8&gt;=3),(1032.2),(0))</f>
        <v>0</v>
      </c>
      <c r="J24" s="45">
        <f>[1]Credits!N27*-1</f>
        <v>0</v>
      </c>
      <c r="L24" s="6">
        <v>0.3</v>
      </c>
      <c r="M24" s="46">
        <f>M23</f>
        <v>712</v>
      </c>
      <c r="N24" s="51">
        <f>M23*L24</f>
        <v>213.6</v>
      </c>
      <c r="O24" s="46">
        <f>M23-N24</f>
        <v>498.4</v>
      </c>
      <c r="P24" s="52"/>
      <c r="Q24" s="46">
        <f>M23+R24</f>
        <v>925.6</v>
      </c>
      <c r="R24" s="51">
        <f>M23*L24</f>
        <v>213.6</v>
      </c>
    </row>
    <row r="25" spans="4:18" x14ac:dyDescent="0.25">
      <c r="D25" s="47"/>
      <c r="E25" s="48"/>
      <c r="F25" s="44"/>
      <c r="G25" s="44"/>
      <c r="H25" s="44"/>
      <c r="I25" s="44"/>
      <c r="J25" s="45"/>
      <c r="L25" s="6" t="s">
        <v>35</v>
      </c>
      <c r="M25" s="6">
        <v>58</v>
      </c>
      <c r="N25" s="52"/>
      <c r="P25" s="52"/>
      <c r="R25" s="51"/>
    </row>
    <row r="26" spans="4:18" x14ac:dyDescent="0.25">
      <c r="D26" s="49" t="s">
        <v>25</v>
      </c>
      <c r="E26" s="50"/>
      <c r="F26" s="44">
        <f t="shared" si="0"/>
        <v>53.9</v>
      </c>
      <c r="G26" s="44">
        <f>IF(AND(I26&lt;1,H26=0),(59),(0))</f>
        <v>0</v>
      </c>
      <c r="H26" s="44">
        <f>IF(AND(F7&lt;=2,F8&lt;=2),(53.9),(0))</f>
        <v>53.9</v>
      </c>
      <c r="I26" s="44">
        <f>IF(AND(F7&gt;=4,F8&gt;=3),(100.1),(0))</f>
        <v>0</v>
      </c>
      <c r="J26" s="45">
        <f>[1]Credits!N29*-1</f>
        <v>0</v>
      </c>
      <c r="L26" s="6">
        <v>0.3</v>
      </c>
      <c r="M26" s="46">
        <f>M25</f>
        <v>58</v>
      </c>
      <c r="N26" s="51">
        <f>M25*L26</f>
        <v>17.399999999999999</v>
      </c>
      <c r="O26" s="46">
        <f>M25-N26</f>
        <v>40.6</v>
      </c>
      <c r="P26" s="52"/>
      <c r="Q26" s="46">
        <f>M25+R26</f>
        <v>75.400000000000006</v>
      </c>
      <c r="R26" s="51">
        <f>M25*L26</f>
        <v>17.399999999999999</v>
      </c>
    </row>
    <row r="27" spans="4:18" x14ac:dyDescent="0.25">
      <c r="D27" s="47"/>
      <c r="E27" s="48"/>
      <c r="F27" s="44"/>
      <c r="G27" s="44"/>
      <c r="H27" s="44"/>
      <c r="I27" s="44"/>
      <c r="J27" s="45"/>
      <c r="L27" s="6" t="s">
        <v>35</v>
      </c>
      <c r="M27" s="6">
        <v>520</v>
      </c>
      <c r="N27" s="52"/>
      <c r="P27" s="52"/>
      <c r="R27" s="51"/>
    </row>
    <row r="28" spans="4:18" x14ac:dyDescent="0.25">
      <c r="D28" s="49" t="s">
        <v>26</v>
      </c>
      <c r="E28" s="50"/>
      <c r="F28" s="44">
        <f>SUM(G28:J28)</f>
        <v>320.60000000000002</v>
      </c>
      <c r="G28" s="44">
        <f>IF(AND(I28&lt;1,H28=0),(458),(0))</f>
        <v>0</v>
      </c>
      <c r="H28" s="44">
        <f>IF(AND(F7&lt;=2,F8&lt;=2),(320.6),(0))</f>
        <v>320.60000000000002</v>
      </c>
      <c r="I28" s="44">
        <f>IF(AND(F7&gt;=4,F8&gt;=3),(595.4),(0))</f>
        <v>0</v>
      </c>
      <c r="J28" s="45">
        <f>[1]Credits!N31*-1</f>
        <v>0</v>
      </c>
      <c r="L28" s="6">
        <v>0.3</v>
      </c>
      <c r="M28" s="46">
        <f>M27</f>
        <v>520</v>
      </c>
      <c r="N28" s="51">
        <f>M27*L28</f>
        <v>156</v>
      </c>
      <c r="O28" s="46">
        <f>M27-N28</f>
        <v>364</v>
      </c>
      <c r="P28" s="52"/>
      <c r="Q28" s="46">
        <f>M27+R28</f>
        <v>676</v>
      </c>
      <c r="R28" s="51">
        <f>M27*L28</f>
        <v>156</v>
      </c>
    </row>
    <row r="29" spans="4:18" ht="34.5" customHeight="1" x14ac:dyDescent="0.25">
      <c r="D29" s="47"/>
      <c r="E29" s="48"/>
      <c r="F29" s="44"/>
      <c r="G29" s="44"/>
      <c r="H29" s="44"/>
      <c r="I29" s="44"/>
      <c r="J29" s="45"/>
    </row>
    <row r="30" spans="4:18" x14ac:dyDescent="0.25">
      <c r="D30" s="49" t="s">
        <v>27</v>
      </c>
      <c r="E30" s="50"/>
      <c r="F30" s="44">
        <f t="shared" si="0"/>
        <v>366.8</v>
      </c>
      <c r="G30" s="44">
        <f>IF(AND(I30&lt;1,H30=0),(524),(0))</f>
        <v>0</v>
      </c>
      <c r="H30" s="44">
        <f>IF(AND(F7&lt;=2,F8&lt;=2),(366.8),(0))</f>
        <v>366.8</v>
      </c>
      <c r="I30" s="44">
        <f>IF(AND(F7&gt;=4,F8&gt;=3),(681.2),(0))</f>
        <v>0</v>
      </c>
      <c r="J30" s="45">
        <f>[1]Credits!N33*-1</f>
        <v>0</v>
      </c>
    </row>
    <row r="31" spans="4:18" x14ac:dyDescent="0.25">
      <c r="D31" s="53" t="s">
        <v>28</v>
      </c>
      <c r="E31" s="54"/>
      <c r="F31" s="55">
        <f>SUM(F15:F30)</f>
        <v>13431.25</v>
      </c>
      <c r="G31" s="56">
        <f>SUM(G15:G30)</f>
        <v>0</v>
      </c>
      <c r="H31" s="56">
        <f>SUM(H15:H30)</f>
        <v>13431.25</v>
      </c>
      <c r="I31" s="56">
        <f>SUM(I15:I30)</f>
        <v>0</v>
      </c>
      <c r="J31" s="57">
        <f>SUM(J15:J30)</f>
        <v>0</v>
      </c>
    </row>
    <row r="32" spans="4:18" ht="46.5" customHeight="1" x14ac:dyDescent="0.25">
      <c r="D32" s="58"/>
      <c r="E32" s="58"/>
      <c r="F32" s="59" t="s">
        <v>40</v>
      </c>
      <c r="G32" s="60"/>
      <c r="H32" s="60"/>
      <c r="I32" s="60"/>
      <c r="J32" s="61"/>
    </row>
    <row r="33" spans="9:17" x14ac:dyDescent="0.25">
      <c r="I33" s="62" t="s">
        <v>41</v>
      </c>
      <c r="J33" s="62"/>
      <c r="M33" s="6">
        <v>54</v>
      </c>
      <c r="N33" s="6">
        <f>M33*0.3</f>
        <v>16.2</v>
      </c>
      <c r="O33" s="6">
        <f>M33-N33</f>
        <v>37.799999999999997</v>
      </c>
      <c r="Q33" s="6">
        <f>M33+N33</f>
        <v>70.2</v>
      </c>
    </row>
    <row r="35" spans="9:17" x14ac:dyDescent="0.25">
      <c r="M35" s="6">
        <v>421</v>
      </c>
      <c r="N35" s="6">
        <f>M35*0.3</f>
        <v>126.3</v>
      </c>
      <c r="O35" s="6">
        <f t="shared" ref="O35:O37" si="3">M35-N35</f>
        <v>294.7</v>
      </c>
      <c r="Q35" s="6">
        <f t="shared" ref="Q35:Q37" si="4">M35+N35</f>
        <v>547.29999999999995</v>
      </c>
    </row>
    <row r="37" spans="9:17" x14ac:dyDescent="0.25">
      <c r="M37" s="6">
        <v>481</v>
      </c>
      <c r="N37" s="6">
        <f>M37*0.3</f>
        <v>144.29999999999998</v>
      </c>
      <c r="O37" s="6">
        <f t="shared" si="3"/>
        <v>336.70000000000005</v>
      </c>
      <c r="Q37" s="6">
        <f t="shared" si="4"/>
        <v>625.29999999999995</v>
      </c>
    </row>
  </sheetData>
  <sheetProtection algorithmName="SHA-512" hashValue="1KcWwNQzgPVGUHkAI9Tkjeu4n8xZvtQVJgW5WYJx6722fY+U6Dhs4TrTJ1G2fTrKxiWVwMr2O+4Ym/gF4GkmpA==" saltValue="Gs74ZKNSoHYZnRnwRDY1DQ==" spinCount="100000" sheet="1" objects="1" scenarios="1"/>
  <mergeCells count="21">
    <mergeCell ref="D21:E21"/>
    <mergeCell ref="D1:J1"/>
    <mergeCell ref="D2:E2"/>
    <mergeCell ref="G2:J2"/>
    <mergeCell ref="E3:F3"/>
    <mergeCell ref="E4:F4"/>
    <mergeCell ref="D14:E14"/>
    <mergeCell ref="D19:E19"/>
    <mergeCell ref="D20:E20"/>
    <mergeCell ref="I33:J33"/>
    <mergeCell ref="D22:E22"/>
    <mergeCell ref="D23:E23"/>
    <mergeCell ref="D24:E24"/>
    <mergeCell ref="D25:E25"/>
    <mergeCell ref="D26:E26"/>
    <mergeCell ref="D27:E27"/>
    <mergeCell ref="D29:E29"/>
    <mergeCell ref="D30:E30"/>
    <mergeCell ref="D31:E31"/>
    <mergeCell ref="F32:J32"/>
    <mergeCell ref="D28:E2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NSFR FEE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Kratochvil</dc:creator>
  <cp:lastModifiedBy>Nathaniel Kratochvil</cp:lastModifiedBy>
  <dcterms:created xsi:type="dcterms:W3CDTF">2022-02-22T18:05:20Z</dcterms:created>
  <dcterms:modified xsi:type="dcterms:W3CDTF">2024-07-08T18:31:07Z</dcterms:modified>
</cp:coreProperties>
</file>